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Caitlan\Dropbox\McKenzie\RFPs\2026\In Progress\Alliance for Innovation Jan30\"/>
    </mc:Choice>
  </mc:AlternateContent>
  <xr:revisionPtr revIDLastSave="0" documentId="8_{D1597B21-828B-44C9-B0C6-7672DECB00C3}" xr6:coauthVersionLast="47" xr6:coauthVersionMax="47" xr10:uidLastSave="{00000000-0000-0000-0000-000000000000}"/>
  <bookViews>
    <workbookView xWindow="-109" yWindow="-109" windowWidth="26301" windowHeight="14169" xr2:uid="{00000000-000D-0000-FFFF-FFFF00000000}"/>
  </bookViews>
  <sheets>
    <sheet name="Market Basket" sheetId="1" r:id="rId1"/>
  </sheets>
  <definedNames>
    <definedName name="_xlnm._FilterDatabase" localSheetId="0" hidden="1">'Market Basket'!$A$6:$S$96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G58" i="1"/>
  <c r="K80" i="1"/>
  <c r="K81" i="1"/>
  <c r="M81" i="1"/>
  <c r="L81" i="1"/>
  <c r="J81" i="1"/>
  <c r="I81" i="1"/>
  <c r="H81" i="1"/>
  <c r="N80" i="1"/>
  <c r="M80" i="1"/>
  <c r="L80" i="1"/>
  <c r="J80" i="1"/>
  <c r="I80" i="1"/>
  <c r="N79" i="1"/>
  <c r="K79" i="1"/>
  <c r="M79" i="1"/>
  <c r="L79" i="1"/>
  <c r="J79" i="1"/>
  <c r="I79" i="1"/>
  <c r="H79" i="1"/>
  <c r="K78" i="1"/>
  <c r="L78" i="1"/>
  <c r="N78" i="1"/>
  <c r="M78" i="1"/>
  <c r="J78" i="1"/>
  <c r="M64" i="1"/>
  <c r="K64" i="1"/>
  <c r="I64" i="1"/>
  <c r="N64" i="1"/>
  <c r="L64" i="1"/>
  <c r="J64" i="1"/>
  <c r="H64" i="1"/>
  <c r="G64" i="1"/>
  <c r="K63" i="1"/>
  <c r="H63" i="1"/>
  <c r="N63" i="1"/>
  <c r="M63" i="1"/>
  <c r="L63" i="1"/>
  <c r="J63" i="1"/>
  <c r="I63" i="1"/>
  <c r="G63" i="1"/>
  <c r="M62" i="1"/>
  <c r="K62" i="1"/>
  <c r="I62" i="1"/>
  <c r="N62" i="1"/>
  <c r="L62" i="1"/>
  <c r="J62" i="1"/>
  <c r="H62" i="1"/>
  <c r="N61" i="1"/>
  <c r="M60" i="1"/>
  <c r="K60" i="1"/>
  <c r="K61" i="1"/>
  <c r="M61" i="1"/>
  <c r="L61" i="1"/>
  <c r="J61" i="1"/>
  <c r="I61" i="1"/>
  <c r="H61" i="1"/>
  <c r="N60" i="1"/>
  <c r="L60" i="1"/>
  <c r="J60" i="1"/>
  <c r="I60" i="1"/>
  <c r="H60" i="1"/>
  <c r="G60" i="1"/>
  <c r="N59" i="1"/>
  <c r="K59" i="1"/>
  <c r="M59" i="1"/>
  <c r="L59" i="1"/>
  <c r="J59" i="1"/>
  <c r="I59" i="1"/>
  <c r="H59" i="1"/>
  <c r="N57" i="1"/>
  <c r="K57" i="1"/>
  <c r="K56" i="1"/>
  <c r="L56" i="1"/>
  <c r="M58" i="1"/>
  <c r="N58" i="1"/>
  <c r="K58" i="1"/>
  <c r="H58" i="1"/>
  <c r="L58" i="1"/>
  <c r="J58" i="1"/>
  <c r="I58" i="1"/>
  <c r="M57" i="1"/>
  <c r="L57" i="1"/>
  <c r="J57" i="1"/>
  <c r="I57" i="1"/>
  <c r="H57" i="1"/>
  <c r="N56" i="1"/>
  <c r="M56" i="1"/>
  <c r="J56" i="1"/>
  <c r="I56" i="1"/>
  <c r="H56" i="1"/>
  <c r="N55" i="1"/>
  <c r="K55" i="1"/>
  <c r="M55" i="1"/>
  <c r="L55" i="1"/>
  <c r="J55" i="1"/>
  <c r="I55" i="1"/>
  <c r="H55" i="1"/>
  <c r="N54" i="1"/>
  <c r="K54" i="1"/>
  <c r="J54" i="1"/>
  <c r="M54" i="1"/>
  <c r="L54" i="1"/>
  <c r="I54" i="1"/>
  <c r="H54" i="1"/>
  <c r="N53" i="1"/>
  <c r="K53" i="1"/>
  <c r="M53" i="1"/>
  <c r="L53" i="1"/>
  <c r="J53" i="1"/>
  <c r="I53" i="1"/>
  <c r="M52" i="1"/>
  <c r="K52" i="1"/>
  <c r="N52" i="1"/>
  <c r="L52" i="1"/>
  <c r="J52" i="1"/>
  <c r="I52" i="1"/>
  <c r="H52" i="1"/>
  <c r="M51" i="1"/>
  <c r="N51" i="1"/>
  <c r="K51" i="1"/>
  <c r="L51" i="1"/>
  <c r="J51" i="1"/>
  <c r="I51" i="1"/>
  <c r="K50" i="1"/>
  <c r="L50" i="1"/>
  <c r="M50" i="1"/>
  <c r="I50" i="1"/>
  <c r="N50" i="1"/>
  <c r="J50" i="1"/>
  <c r="H50" i="1"/>
  <c r="N49" i="1"/>
  <c r="K49" i="1"/>
  <c r="M49" i="1"/>
  <c r="L49" i="1"/>
  <c r="J49" i="1"/>
  <c r="I49" i="1"/>
  <c r="H49" i="1"/>
  <c r="N48" i="1"/>
  <c r="K48" i="1"/>
  <c r="M48" i="1"/>
  <c r="L48" i="1"/>
  <c r="J48" i="1"/>
  <c r="I48" i="1"/>
  <c r="H48" i="1"/>
  <c r="K47" i="1"/>
  <c r="L47" i="1"/>
  <c r="M47" i="1"/>
  <c r="N47" i="1"/>
  <c r="J47" i="1"/>
  <c r="I47" i="1"/>
  <c r="H47" i="1"/>
  <c r="G47" i="1"/>
  <c r="F47" i="1"/>
  <c r="M46" i="1"/>
  <c r="N46" i="1"/>
  <c r="K46" i="1"/>
  <c r="L46" i="1"/>
  <c r="J46" i="1"/>
  <c r="I46" i="1"/>
  <c r="H46" i="1"/>
  <c r="G46" i="1"/>
  <c r="N45" i="1"/>
  <c r="K45" i="1"/>
  <c r="M45" i="1"/>
  <c r="L45" i="1"/>
  <c r="J45" i="1"/>
  <c r="I45" i="1"/>
  <c r="H45" i="1"/>
  <c r="G45" i="1"/>
  <c r="M42" i="1"/>
  <c r="N42" i="1"/>
  <c r="N44" i="1"/>
  <c r="K44" i="1"/>
  <c r="M44" i="1"/>
  <c r="L44" i="1"/>
  <c r="J44" i="1"/>
  <c r="I44" i="1"/>
  <c r="H44" i="1"/>
  <c r="N43" i="1"/>
  <c r="K43" i="1"/>
  <c r="M43" i="1"/>
  <c r="L43" i="1"/>
  <c r="J43" i="1"/>
  <c r="I43" i="1"/>
  <c r="H43" i="1"/>
  <c r="L42" i="1"/>
  <c r="K42" i="1"/>
  <c r="J42" i="1"/>
  <c r="I42" i="1"/>
  <c r="H42" i="1"/>
  <c r="G42" i="1"/>
  <c r="N41" i="1"/>
  <c r="K41" i="1"/>
  <c r="M41" i="1"/>
  <c r="L41" i="1"/>
  <c r="J41" i="1"/>
  <c r="I41" i="1"/>
  <c r="H41" i="1"/>
  <c r="I40" i="1"/>
  <c r="N40" i="1"/>
  <c r="M40" i="1"/>
  <c r="L40" i="1"/>
  <c r="K40" i="1"/>
  <c r="J40" i="1"/>
  <c r="H40" i="1"/>
  <c r="N39" i="1"/>
  <c r="J39" i="1"/>
  <c r="K39" i="1"/>
  <c r="M39" i="1"/>
  <c r="L39" i="1"/>
  <c r="I39" i="1"/>
  <c r="H39" i="1"/>
  <c r="N38" i="1"/>
  <c r="K38" i="1"/>
  <c r="M38" i="1"/>
  <c r="L38" i="1"/>
  <c r="J38" i="1"/>
  <c r="I38" i="1"/>
  <c r="H38" i="1"/>
  <c r="N37" i="1"/>
  <c r="K37" i="1"/>
  <c r="M37" i="1"/>
  <c r="L37" i="1"/>
  <c r="J37" i="1"/>
  <c r="I37" i="1"/>
  <c r="H37" i="1"/>
  <c r="I26" i="1"/>
  <c r="K26" i="1"/>
  <c r="M26" i="1"/>
  <c r="N26" i="1"/>
  <c r="L26" i="1"/>
  <c r="J26" i="1"/>
  <c r="H26" i="1"/>
  <c r="N25" i="1"/>
  <c r="M25" i="1"/>
  <c r="L25" i="1"/>
  <c r="K25" i="1"/>
  <c r="J25" i="1"/>
  <c r="I25" i="1"/>
  <c r="H25" i="1"/>
  <c r="G25" i="1"/>
  <c r="K24" i="1"/>
  <c r="N24" i="1"/>
  <c r="M24" i="1"/>
  <c r="L24" i="1"/>
  <c r="J24" i="1"/>
  <c r="I24" i="1"/>
  <c r="M23" i="1"/>
  <c r="N23" i="1"/>
  <c r="K23" i="1"/>
  <c r="L23" i="1"/>
  <c r="J23" i="1"/>
  <c r="I23" i="1"/>
  <c r="H23" i="1"/>
  <c r="G23" i="1"/>
  <c r="F23" i="1"/>
  <c r="N22" i="1"/>
  <c r="K22" i="1"/>
  <c r="I22" i="1"/>
  <c r="M22" i="1"/>
  <c r="L22" i="1"/>
  <c r="J22" i="1"/>
  <c r="H22" i="1"/>
  <c r="K21" i="1"/>
  <c r="M21" i="1"/>
  <c r="N21" i="1"/>
  <c r="L21" i="1"/>
  <c r="J21" i="1"/>
  <c r="I21" i="1"/>
  <c r="H21" i="1"/>
  <c r="G20" i="1"/>
  <c r="H20" i="1"/>
  <c r="I20" i="1"/>
  <c r="J20" i="1"/>
  <c r="K20" i="1"/>
  <c r="L20" i="1"/>
  <c r="M20" i="1"/>
  <c r="N20" i="1"/>
  <c r="F20" i="1"/>
  <c r="M19" i="1"/>
  <c r="N19" i="1"/>
  <c r="K19" i="1"/>
  <c r="L19" i="1"/>
  <c r="J19" i="1"/>
  <c r="I19" i="1"/>
  <c r="H19" i="1"/>
  <c r="G19" i="1"/>
  <c r="M18" i="1"/>
  <c r="K18" i="1"/>
  <c r="I18" i="1"/>
  <c r="N18" i="1"/>
  <c r="L18" i="1"/>
  <c r="J18" i="1"/>
  <c r="H18" i="1"/>
  <c r="M17" i="1"/>
  <c r="N17" i="1"/>
  <c r="L17" i="1"/>
  <c r="K17" i="1"/>
  <c r="J17" i="1"/>
  <c r="I17" i="1"/>
  <c r="H17" i="1"/>
  <c r="G17" i="1"/>
  <c r="F17" i="1"/>
  <c r="M16" i="1"/>
  <c r="N16" i="1"/>
  <c r="L16" i="1"/>
  <c r="K16" i="1"/>
  <c r="J16" i="1"/>
  <c r="I16" i="1"/>
  <c r="H16" i="1"/>
  <c r="G16" i="1"/>
  <c r="N15" i="1"/>
  <c r="M15" i="1"/>
  <c r="L15" i="1"/>
  <c r="K15" i="1"/>
  <c r="J15" i="1"/>
  <c r="I15" i="1"/>
  <c r="H15" i="1"/>
  <c r="G15" i="1"/>
  <c r="N14" i="1"/>
  <c r="M14" i="1"/>
  <c r="L14" i="1"/>
  <c r="K14" i="1"/>
  <c r="J14" i="1"/>
  <c r="N13" i="1"/>
  <c r="M13" i="1"/>
  <c r="L13" i="1"/>
  <c r="K13" i="1"/>
  <c r="J13" i="1"/>
  <c r="I13" i="1"/>
  <c r="N12" i="1"/>
  <c r="M12" i="1"/>
  <c r="L12" i="1"/>
  <c r="K12" i="1"/>
  <c r="J12" i="1"/>
  <c r="N11" i="1"/>
  <c r="M11" i="1"/>
  <c r="L11" i="1"/>
  <c r="K11" i="1"/>
  <c r="J11" i="1"/>
  <c r="I11" i="1"/>
  <c r="N10" i="1"/>
  <c r="M10" i="1"/>
  <c r="L10" i="1"/>
  <c r="K10" i="1"/>
  <c r="J10" i="1"/>
  <c r="H10" i="1"/>
  <c r="I10" i="1"/>
  <c r="G10" i="1"/>
  <c r="N9" i="1"/>
  <c r="M9" i="1"/>
  <c r="L9" i="1"/>
  <c r="K9" i="1"/>
  <c r="J9" i="1"/>
  <c r="I9" i="1"/>
  <c r="H9" i="1"/>
  <c r="N8" i="1"/>
  <c r="M8" i="1"/>
  <c r="L8" i="1"/>
  <c r="K8" i="1"/>
  <c r="J8" i="1"/>
  <c r="I8" i="1"/>
  <c r="H8" i="1"/>
  <c r="N7" i="1"/>
  <c r="M7" i="1"/>
  <c r="L7" i="1"/>
  <c r="K7" i="1"/>
  <c r="J7" i="1"/>
  <c r="I7" i="1"/>
</calcChain>
</file>

<file path=xl/sharedStrings.xml><?xml version="1.0" encoding="utf-8"?>
<sst xmlns="http://schemas.openxmlformats.org/spreadsheetml/2006/main" count="654" uniqueCount="302">
  <si>
    <t>Line</t>
  </si>
  <si>
    <t>Category</t>
  </si>
  <si>
    <t>Item</t>
  </si>
  <si>
    <t>Base Spec (minimum)</t>
  </si>
  <si>
    <t>Imprint Method (quote as specified)</t>
  </si>
  <si>
    <t>Add'l Color Add-on (per unit)</t>
  </si>
  <si>
    <t>2nd Location Add-on (per unit)</t>
  </si>
  <si>
    <t>Setup/Art Fee (if any)</t>
  </si>
  <si>
    <t>Std Lead Time (business days)</t>
  </si>
  <si>
    <t>Rush Available (Y/N)</t>
  </si>
  <si>
    <t>Writing</t>
  </si>
  <si>
    <t>Drinkware</t>
  </si>
  <si>
    <t>Apparel</t>
  </si>
  <si>
    <t>Bags</t>
  </si>
  <si>
    <t>Tech</t>
  </si>
  <si>
    <t>Office</t>
  </si>
  <si>
    <t>Events</t>
  </si>
  <si>
    <t>Giveaways</t>
  </si>
  <si>
    <t>Stickers/Print</t>
  </si>
  <si>
    <t>Print</t>
  </si>
  <si>
    <t>Packs</t>
  </si>
  <si>
    <t>Pens - Plastic Retractable</t>
  </si>
  <si>
    <t>Pens - Metal Click</t>
  </si>
  <si>
    <t>Pens - Eco Paper Barrel</t>
  </si>
  <si>
    <t>Stylus Pen Combo</t>
  </si>
  <si>
    <t>Highlighter</t>
  </si>
  <si>
    <t>Pencil - #2 Wood</t>
  </si>
  <si>
    <t>Mechanical Pencil</t>
  </si>
  <si>
    <t>Sharpie-Style Marker</t>
  </si>
  <si>
    <t>11 oz Ceramic Mug</t>
  </si>
  <si>
    <t>15 oz Ceramic Mug</t>
  </si>
  <si>
    <t>Ceramic Mug w/ Color Interior</t>
  </si>
  <si>
    <t>10-12 oz Camp Mug (Enamel/Steel)</t>
  </si>
  <si>
    <t>16 oz Pint Glass</t>
  </si>
  <si>
    <t>16-20 oz Tumbler (Plastic)</t>
  </si>
  <si>
    <t>20-30 oz Insulated Tumbler (Stainless)</t>
  </si>
  <si>
    <t>12-18 oz Water Bottle (Tritan)</t>
  </si>
  <si>
    <t>17 oz Stainless Bottle</t>
  </si>
  <si>
    <t>Can Cooler (Foam)</t>
  </si>
  <si>
    <t>Can Cooler (Neoprene)</t>
  </si>
  <si>
    <t>Coffee Sleeve (Neoprene)</t>
  </si>
  <si>
    <t>T-Shirt - Basic Cotton</t>
  </si>
  <si>
    <t>T-Shirt - Performance</t>
  </si>
  <si>
    <t>Long Sleeve Tee</t>
  </si>
  <si>
    <t>Polo - Performance</t>
  </si>
  <si>
    <t>Polo - Cotton Pique</t>
  </si>
  <si>
    <t>Hoodie - Pullover</t>
  </si>
  <si>
    <t>Quarter-Zip</t>
  </si>
  <si>
    <t>Beanie Knit Hat</t>
  </si>
  <si>
    <t>Baseball Cap - Structured</t>
  </si>
  <si>
    <t>Baseball Cap - Unstructured</t>
  </si>
  <si>
    <t>Tote - Cotton Canvas</t>
  </si>
  <si>
    <t>Tote - Recycled PET</t>
  </si>
  <si>
    <t>Drawstring Bag - Poly</t>
  </si>
  <si>
    <t>Backpack - Basic Daypack</t>
  </si>
  <si>
    <t>Laptop Sleeve (13-14 in)</t>
  </si>
  <si>
    <t>Messenger Bag</t>
  </si>
  <si>
    <t>Cooler Bag - Lunch</t>
  </si>
  <si>
    <t>Travel Pouch / Toiletry Bag</t>
  </si>
  <si>
    <t>Reusable Grocery Bag (Non-woven)</t>
  </si>
  <si>
    <t>USB Power Bank (5000 mAh)</t>
  </si>
  <si>
    <t>USB Power Bank (10000 mAh)</t>
  </si>
  <si>
    <t>Wireless Charger Pad</t>
  </si>
  <si>
    <t>Charging Cable Set (3-in-1)</t>
  </si>
  <si>
    <t>USB Flash Drive (16GB)</t>
  </si>
  <si>
    <t>Webcam Cover Slider</t>
  </si>
  <si>
    <t>Phone Stand (Desktop)</t>
  </si>
  <si>
    <t>PopSocket-Style Grip</t>
  </si>
  <si>
    <t>Earbuds Case (Generic)</t>
  </si>
  <si>
    <t>Notebook - A5 Softcover</t>
  </si>
  <si>
    <t>Notebook - Hard Cover</t>
  </si>
  <si>
    <t>Journal w/ Pen Loop</t>
  </si>
  <si>
    <t>Sticky Note Pad Set</t>
  </si>
  <si>
    <t>Mouse Pad - Standard</t>
  </si>
  <si>
    <t>Desk Mat / Large Mouse Pad</t>
  </si>
  <si>
    <t>Coaster Set (2-4 pack)</t>
  </si>
  <si>
    <t>Badge Holder (Rigid)</t>
  </si>
  <si>
    <t>Lanyard - Breakaway</t>
  </si>
  <si>
    <t>Name Badge (Reusable Holder)</t>
  </si>
  <si>
    <t>Folder / Padfolio</t>
  </si>
  <si>
    <t>Clipboard</t>
  </si>
  <si>
    <t>Tablecloth Throw (6 ft)</t>
  </si>
  <si>
    <t>Feather Flag / Banner</t>
  </si>
  <si>
    <t>Pop-Up Banner (33"x80")</t>
  </si>
  <si>
    <t>Step-and-Repeat Backdrop</t>
  </si>
  <si>
    <t>Rally Towel</t>
  </si>
  <si>
    <t>Sunglasses</t>
  </si>
  <si>
    <t>Hand Fan</t>
  </si>
  <si>
    <t>Clapper / Noise Maker</t>
  </si>
  <si>
    <t>Button (2.25")</t>
  </si>
  <si>
    <t>Magnet (3"x4")</t>
  </si>
  <si>
    <t>Keychain - Metal</t>
  </si>
  <si>
    <t>Keychain - Soft PVC</t>
  </si>
  <si>
    <t>Stress Ball (Round)</t>
  </si>
  <si>
    <t>Frisbee</t>
  </si>
  <si>
    <t>Mini First Aid Kit</t>
  </si>
  <si>
    <t>Hand Sanitizer (2 oz)</t>
  </si>
  <si>
    <t>Lip Balm</t>
  </si>
  <si>
    <t>Mints Tin</t>
  </si>
  <si>
    <t>Candy Bag (Individually Wrapped Mix)</t>
  </si>
  <si>
    <t>Seed Packet (Wildflower mix)</t>
  </si>
  <si>
    <t>Koozie for Slim Can</t>
  </si>
  <si>
    <t>Ice Scraper</t>
  </si>
  <si>
    <t>Umbrella - Compact</t>
  </si>
  <si>
    <t>Flashlight - Mini</t>
  </si>
  <si>
    <t>Sticker - Die Cut 3"</t>
  </si>
  <si>
    <t>Sticker Sheet (4-6 stickers)</t>
  </si>
  <si>
    <t>Decal - Window</t>
  </si>
  <si>
    <t>Brochure (Tri-fold)</t>
  </si>
  <si>
    <t>Postcard (5x7)</t>
  </si>
  <si>
    <t>Welcome Kit Bundle (3 items)</t>
  </si>
  <si>
    <t>Plastic retractable pen; black ink; medium point</t>
  </si>
  <si>
    <t>Aluminum/metal pen; black ink; medium point</t>
  </si>
  <si>
    <t>Paper barrel pen; black ink</t>
  </si>
  <si>
    <t>Pen + stylus tip; black ink</t>
  </si>
  <si>
    <t>Chisel tip highlighter; yellow ink</t>
  </si>
  <si>
    <t>Pre-sharpened #2 pencil</t>
  </si>
  <si>
    <t>0.7mm; includes lead</t>
  </si>
  <si>
    <t>Permanent marker equivalent</t>
  </si>
  <si>
    <t>White ceramic; dishwasher safe preferred</t>
  </si>
  <si>
    <t>White ceramic; larger size</t>
  </si>
  <si>
    <t>11-15 oz; colored interior</t>
  </si>
  <si>
    <t>Camp style; durable finish</t>
  </si>
  <si>
    <t>Clear glass; standard pint</t>
  </si>
  <si>
    <t>Double wall plastic; lid included</t>
  </si>
  <si>
    <t>Vacuum insulated; lid included</t>
  </si>
  <si>
    <t>BPA-free; leak resistant lid</t>
  </si>
  <si>
    <t>Single wall stainless; screw cap</t>
  </si>
  <si>
    <t>Standard 12 oz can size</t>
  </si>
  <si>
    <t>Fits 12-16 oz cups</t>
  </si>
  <si>
    <t>Unisex; 100% cotton or blend; sizes S-3XL</t>
  </si>
  <si>
    <t>Moisture-wicking; unisex; sizes S-3XL</t>
  </si>
  <si>
    <t>Unisex; cotton or blend; sizes S-3XL</t>
  </si>
  <si>
    <t>Cotton pique; unisex; sizes S-3XL</t>
  </si>
  <si>
    <t>Fleece hoodie; unisex; sizes S-3XL</t>
  </si>
  <si>
    <t>Performance or fleece; unisex; sizes S-3XL</t>
  </si>
  <si>
    <t>One size fits most</t>
  </si>
  <si>
    <t>Adjustable; structured</t>
  </si>
  <si>
    <t>Adjustable; unstructured</t>
  </si>
  <si>
    <t>~14"x15"; 10 oz canvas or similar</t>
  </si>
  <si>
    <t>Comparable size; rPET</t>
  </si>
  <si>
    <t>Standard drawstring; durable cords</t>
  </si>
  <si>
    <t>Main compartment + front pocket</t>
  </si>
  <si>
    <t>Padded sleeve; zipper</t>
  </si>
  <si>
    <t>Basic messenger; shoulder strap</t>
  </si>
  <si>
    <t>Insulated lunch cooler</t>
  </si>
  <si>
    <t>Zipper pouch; approx 8-10 in length</t>
  </si>
  <si>
    <t>Standard grocery size</t>
  </si>
  <si>
    <t>Name-brand cells preferred; safety/compliance</t>
  </si>
  <si>
    <t>Qi compatible</t>
  </si>
  <si>
    <t>Lightning/USB-C/Micro or updated standard</t>
  </si>
  <si>
    <t>USB-A or USB-C as specified</t>
  </si>
  <si>
    <t>Standard size</t>
  </si>
  <si>
    <t>Foldable or fixed</t>
  </si>
  <si>
    <t>Adhesive phone grip</t>
  </si>
  <si>
    <t>Basic wired or storage case</t>
  </si>
  <si>
    <t>~5.5x8.25; 80+ sheets; elastic preferred</t>
  </si>
  <si>
    <t>A5-ish; hard cover; 80+ sheets</t>
  </si>
  <si>
    <t>Hardcover; loop; ribbon</t>
  </si>
  <si>
    <t>Sticky notes + flags in folder</t>
  </si>
  <si>
    <t>9"x7" approx</t>
  </si>
  <si>
    <t>Extended size</t>
  </si>
  <si>
    <t>Cork/stone/neoprene options</t>
  </si>
  <si>
    <t>Standard ID badge holder</t>
  </si>
  <si>
    <t>Safety breakaway + swivel clip</t>
  </si>
  <si>
    <t>Badge + insert</t>
  </si>
  <si>
    <t>Basic padfolio w/ notepad</t>
  </si>
  <si>
    <t>Standard letter size</t>
  </si>
  <si>
    <t>Polyester; fitted or throw</t>
  </si>
  <si>
    <t>Standard height; hardware included</t>
  </si>
  <si>
    <t>Stand + carry case</t>
  </si>
  <si>
    <t>Standard size; includes stand/carry</t>
  </si>
  <si>
    <t>UV400 compliant</t>
  </si>
  <si>
    <t>Paper/plastic fan</t>
  </si>
  <si>
    <t>Basic stadium clapper</t>
  </si>
  <si>
    <t>Standard pin-back button</t>
  </si>
  <si>
    <t>Flexible magnet</t>
  </si>
  <si>
    <t>Metal keychain</t>
  </si>
  <si>
    <t>Custom PVC</t>
  </si>
  <si>
    <t>Standard round stress ball</t>
  </si>
  <si>
    <t>Bandages basics in case</t>
  </si>
  <si>
    <t>Alcohol-based; flip cap</t>
  </si>
  <si>
    <t>Standard tube; assorted flavors</t>
  </si>
  <si>
    <t>Small tin</t>
  </si>
  <si>
    <t>Assorted candy; custom sticker</t>
  </si>
  <si>
    <t>Packet with custom print</t>
  </si>
  <si>
    <t>Slim can size</t>
  </si>
  <si>
    <t>Standard car ice scraper</t>
  </si>
  <si>
    <t>Manual open; carry sleeve</t>
  </si>
  <si>
    <t>Keychain or mini flashlight</t>
  </si>
  <si>
    <t>Weather-resistant vinyl</t>
  </si>
  <si>
    <t>Vinyl sheet</t>
  </si>
  <si>
    <t>Static cling or adhesive window decal</t>
  </si>
  <si>
    <t>Full color both sides; 8.5x11 tri-fold</t>
  </si>
  <si>
    <t>Full color both sides</t>
  </si>
  <si>
    <t>Notebook + pen + sticker bundle</t>
  </si>
  <si>
    <t>1-color pad print</t>
  </si>
  <si>
    <t>1-color laser engrave</t>
  </si>
  <si>
    <t>1-color imprint</t>
  </si>
  <si>
    <t>1-color ceramic print</t>
  </si>
  <si>
    <t>1-color screen print (1 location)</t>
  </si>
  <si>
    <t>Left chest embroidery (up to 8k stitches)</t>
  </si>
  <si>
    <t>Embroidery (front)</t>
  </si>
  <si>
    <t>1-color screen print (1 side)</t>
  </si>
  <si>
    <t>Full color (digital)</t>
  </si>
  <si>
    <t>Full color cover (digital)</t>
  </si>
  <si>
    <t>1-color imprint on cover</t>
  </si>
  <si>
    <t>Full color (dye-sub)</t>
  </si>
  <si>
    <t>Full color dye-sub</t>
  </si>
  <si>
    <t>Deboss or 1-color imprint</t>
  </si>
  <si>
    <t>1-color imprint (1 side) or full color</t>
  </si>
  <si>
    <t>Full color</t>
  </si>
  <si>
    <t>Laser engrave or 1-color</t>
  </si>
  <si>
    <t>1-color imprint on case</t>
  </si>
  <si>
    <t>Full color label</t>
  </si>
  <si>
    <t>Priced as kit (include kitting fee)</t>
  </si>
  <si>
    <t>Price Breaks</t>
  </si>
  <si>
    <t>Price 0-49</t>
  </si>
  <si>
    <t>Price 50-99</t>
  </si>
  <si>
    <t>Price 100-249</t>
  </si>
  <si>
    <t>Price 250-499</t>
  </si>
  <si>
    <t>Price 500-749</t>
  </si>
  <si>
    <t>Price 750-999</t>
  </si>
  <si>
    <t>Price 1000-1999</t>
  </si>
  <si>
    <t>Price 2000-2999</t>
  </si>
  <si>
    <t>Price 3000+</t>
  </si>
  <si>
    <t xml:space="preserve">Please provide after discount pricing for the listed items.  The requested pricing information will  be used for purposes of assisting with the evaluation of Suppliers price competitiveness as it pertains to this RFP.  Items will not be individually awarded.  </t>
  </si>
  <si>
    <t>Y</t>
  </si>
  <si>
    <t>5 days</t>
  </si>
  <si>
    <t>silk screen, pad printing</t>
  </si>
  <si>
    <t>laser engraved</t>
  </si>
  <si>
    <t>3-5 days</t>
  </si>
  <si>
    <t>N</t>
  </si>
  <si>
    <t>screen printed</t>
  </si>
  <si>
    <t>10-25 days</t>
  </si>
  <si>
    <t>1-3 days</t>
  </si>
  <si>
    <t>direct print</t>
  </si>
  <si>
    <t>4-6 days</t>
  </si>
  <si>
    <t>16-20 days</t>
  </si>
  <si>
    <t>15-30 days</t>
  </si>
  <si>
    <t>5-6 days</t>
  </si>
  <si>
    <t>$50 flat fee</t>
  </si>
  <si>
    <t>2-7 days</t>
  </si>
  <si>
    <t>7 days</t>
  </si>
  <si>
    <t>8-10 days</t>
  </si>
  <si>
    <t>sublimation</t>
  </si>
  <si>
    <t>2-4 days</t>
  </si>
  <si>
    <t>1-2 days</t>
  </si>
  <si>
    <t>12-15 days</t>
  </si>
  <si>
    <t>5-7 days</t>
  </si>
  <si>
    <t>1-4 days</t>
  </si>
  <si>
    <t>7-10 days</t>
  </si>
  <si>
    <t>Heat transfer/silkscreen</t>
  </si>
  <si>
    <t>30-45 days</t>
  </si>
  <si>
    <t>silkscreen</t>
  </si>
  <si>
    <t>1-5 days</t>
  </si>
  <si>
    <t xml:space="preserve">1-4 days </t>
  </si>
  <si>
    <t>UV full color</t>
  </si>
  <si>
    <t>2-3 days</t>
  </si>
  <si>
    <t>pad print</t>
  </si>
  <si>
    <t>8 days</t>
  </si>
  <si>
    <t>7-9 days</t>
  </si>
  <si>
    <t>full color digital</t>
  </si>
  <si>
    <t>7-12 days</t>
  </si>
  <si>
    <t>7-8 days</t>
  </si>
  <si>
    <t>full color sublimation</t>
  </si>
  <si>
    <t>screen printed (set of 4 cork)</t>
  </si>
  <si>
    <t>4-5 days</t>
  </si>
  <si>
    <t>Full color pad print</t>
  </si>
  <si>
    <t xml:space="preserve">screen printed  </t>
  </si>
  <si>
    <t xml:space="preserve">screen printed </t>
  </si>
  <si>
    <t xml:space="preserve">embroidery </t>
  </si>
  <si>
    <t xml:space="preserve">14 Days </t>
  </si>
  <si>
    <t xml:space="preserve">screenprinted </t>
  </si>
  <si>
    <t xml:space="preserve">7-10 days </t>
  </si>
  <si>
    <t xml:space="preserve">Label printed </t>
  </si>
  <si>
    <t xml:space="preserve">10-14 days </t>
  </si>
  <si>
    <t xml:space="preserve">Direct Imprint </t>
  </si>
  <si>
    <t xml:space="preserve">Photoimage full color </t>
  </si>
  <si>
    <t xml:space="preserve">Digital </t>
  </si>
  <si>
    <t>y</t>
  </si>
  <si>
    <t xml:space="preserve">4 color process </t>
  </si>
  <si>
    <t xml:space="preserve">Full Color Digital </t>
  </si>
  <si>
    <t xml:space="preserve">21 days </t>
  </si>
  <si>
    <t xml:space="preserve">Screen printed </t>
  </si>
  <si>
    <t xml:space="preserve">Full Color Label </t>
  </si>
  <si>
    <t xml:space="preserve">Printed </t>
  </si>
  <si>
    <t xml:space="preserve">Full color Digital </t>
  </si>
  <si>
    <t>Sublimation</t>
  </si>
  <si>
    <t>Pad print</t>
  </si>
  <si>
    <t>Screen Print</t>
  </si>
  <si>
    <t xml:space="preserve">Full color </t>
  </si>
  <si>
    <t>Four Color Process</t>
  </si>
  <si>
    <t>Laser Engraved</t>
  </si>
  <si>
    <t>7-15 days</t>
  </si>
  <si>
    <t>3-15 days</t>
  </si>
  <si>
    <t>4-8 days</t>
  </si>
  <si>
    <t>5-8 days</t>
  </si>
  <si>
    <t>3-10 days</t>
  </si>
  <si>
    <t>4-7 days</t>
  </si>
  <si>
    <t>3 days</t>
  </si>
  <si>
    <t xml:space="preserve">The provided pricing is based on the standard minimum 10% catalog discount. We want to reemphasize that the single most important aspect of our pricing is that we are direct importers so that if an item is desired, we can bypass domestic importers, which can save you as much as 30% off the list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</si>
</sst>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b/>
      <i/>
      <sz val="11"/>
      <color theme="1"/>
      <name val="Calibri"/>
      <family val="2"/>
      <scheme val="minor"/>
    </font>
    <font>
      <sz val="12"/>
      <color theme="1"/>
      <name val="Times New Roman"/>
      <family val="1"/>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7">
    <xf numFmtId="0" fontId="0" fillId="0" borderId="0" xfId="0"/>
    <xf numFmtId="0" fontId="0" fillId="0" borderId="1" xfId="0" applyBorder="1"/>
    <xf numFmtId="0" fontId="1" fillId="2" borderId="1" xfId="0" applyFont="1" applyFill="1" applyBorder="1" applyAlignment="1">
      <alignment horizontal="center" vertical="top"/>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44" fontId="0" fillId="0" borderId="1" xfId="1" applyNumberFormat="1" applyFont="1" applyBorder="1"/>
    <xf numFmtId="44" fontId="0" fillId="0" borderId="1" xfId="0" applyNumberFormat="1" applyBorder="1"/>
    <xf numFmtId="44" fontId="0" fillId="0" borderId="0" xfId="0" applyNumberFormat="1"/>
    <xf numFmtId="0" fontId="0" fillId="0" borderId="1" xfId="0" applyBorder="1" applyAlignment="1">
      <alignment horizontal="center"/>
    </xf>
    <xf numFmtId="0" fontId="2" fillId="4" borderId="0" xfId="0" applyFont="1" applyFill="1" applyBorder="1" applyAlignment="1">
      <alignment horizontal="center" vertical="center" wrapText="1"/>
    </xf>
    <xf numFmtId="0" fontId="0" fillId="4" borderId="0" xfId="0" applyFill="1"/>
    <xf numFmtId="0" fontId="2" fillId="4" borderId="0"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6"/>
  <sheetViews>
    <sheetView tabSelected="1" workbookViewId="0">
      <pane ySplit="6" topLeftCell="A7" activePane="bottomLeft" state="frozen"/>
      <selection pane="bottomLeft" activeCell="C10" sqref="C10"/>
    </sheetView>
  </sheetViews>
  <sheetFormatPr defaultColWidth="8.875" defaultRowHeight="14.3" x14ac:dyDescent="0.25"/>
  <cols>
    <col min="1" max="1" width="12.375" bestFit="1" customWidth="1"/>
    <col min="2" max="2" width="33.875" bestFit="1" customWidth="1"/>
    <col min="3" max="3" width="40.25" bestFit="1" customWidth="1"/>
    <col min="4" max="4" width="35.625" bestFit="1" customWidth="1"/>
    <col min="5" max="5" width="32.375" bestFit="1" customWidth="1"/>
    <col min="6" max="6" width="20.125" bestFit="1" customWidth="1"/>
    <col min="7" max="7" width="10.625" customWidth="1"/>
    <col min="8" max="10" width="11.625" customWidth="1"/>
    <col min="11" max="12" width="12.625" customWidth="1"/>
    <col min="13" max="13" width="14.125" bestFit="1" customWidth="1"/>
    <col min="14" max="14" width="12.625" customWidth="1"/>
    <col min="15" max="15" width="26" bestFit="1" customWidth="1"/>
    <col min="16" max="16" width="27.25" bestFit="1" customWidth="1"/>
    <col min="17" max="17" width="19.875" bestFit="1" customWidth="1"/>
    <col min="18" max="18" width="26.375" bestFit="1" customWidth="1"/>
    <col min="19" max="19" width="18.625" customWidth="1"/>
  </cols>
  <sheetData>
    <row r="1" spans="1:19" ht="15.65" x14ac:dyDescent="0.25">
      <c r="A1" s="7" t="s">
        <v>226</v>
      </c>
      <c r="B1" s="8"/>
      <c r="C1" s="8"/>
      <c r="D1" s="8"/>
      <c r="E1" s="8"/>
      <c r="F1" s="8"/>
      <c r="G1" s="9"/>
    </row>
    <row r="2" spans="1:19" ht="15.65" x14ac:dyDescent="0.25">
      <c r="A2" s="14"/>
      <c r="B2" s="14"/>
      <c r="C2" s="14"/>
      <c r="D2" s="14"/>
      <c r="E2" s="14"/>
      <c r="F2" s="14"/>
      <c r="G2" s="14"/>
    </row>
    <row r="3" spans="1:19" ht="34" customHeight="1" x14ac:dyDescent="0.25">
      <c r="A3" s="16" t="s">
        <v>301</v>
      </c>
      <c r="B3" s="16"/>
      <c r="C3" s="16"/>
      <c r="D3" s="16"/>
      <c r="E3" s="16"/>
      <c r="F3" s="16"/>
      <c r="G3" s="16"/>
      <c r="H3" s="16"/>
      <c r="I3" s="16"/>
      <c r="J3" s="16"/>
      <c r="K3" s="16"/>
    </row>
    <row r="4" spans="1:19" ht="14.95" thickBot="1" x14ac:dyDescent="0.3">
      <c r="A4" s="15"/>
      <c r="B4" s="15"/>
      <c r="C4" s="15"/>
      <c r="D4" s="15"/>
      <c r="E4" s="15"/>
      <c r="F4" s="15"/>
      <c r="G4" s="15"/>
    </row>
    <row r="5" spans="1:19" x14ac:dyDescent="0.25">
      <c r="F5" s="3" t="s">
        <v>216</v>
      </c>
      <c r="G5" s="4"/>
      <c r="H5" s="4"/>
      <c r="I5" s="4"/>
      <c r="J5" s="4"/>
      <c r="K5" s="4"/>
      <c r="L5" s="5"/>
      <c r="M5" s="5"/>
      <c r="N5" s="6"/>
    </row>
    <row r="6" spans="1:19" x14ac:dyDescent="0.25">
      <c r="A6" s="2" t="s">
        <v>0</v>
      </c>
      <c r="B6" s="2" t="s">
        <v>1</v>
      </c>
      <c r="C6" s="2" t="s">
        <v>2</v>
      </c>
      <c r="D6" s="2" t="s">
        <v>3</v>
      </c>
      <c r="E6" s="2" t="s">
        <v>4</v>
      </c>
      <c r="F6" s="2" t="s">
        <v>217</v>
      </c>
      <c r="G6" s="2" t="s">
        <v>218</v>
      </c>
      <c r="H6" s="2" t="s">
        <v>219</v>
      </c>
      <c r="I6" s="2" t="s">
        <v>220</v>
      </c>
      <c r="J6" s="2" t="s">
        <v>221</v>
      </c>
      <c r="K6" s="2" t="s">
        <v>222</v>
      </c>
      <c r="L6" s="2" t="s">
        <v>223</v>
      </c>
      <c r="M6" s="2" t="s">
        <v>224</v>
      </c>
      <c r="N6" s="2" t="s">
        <v>225</v>
      </c>
      <c r="O6" s="2" t="s">
        <v>5</v>
      </c>
      <c r="P6" s="2" t="s">
        <v>6</v>
      </c>
      <c r="Q6" s="2" t="s">
        <v>7</v>
      </c>
      <c r="R6" s="2" t="s">
        <v>8</v>
      </c>
      <c r="S6" s="2" t="s">
        <v>9</v>
      </c>
    </row>
    <row r="7" spans="1:19" x14ac:dyDescent="0.25">
      <c r="A7" s="1" t="s">
        <v>10</v>
      </c>
      <c r="B7" s="1" t="s">
        <v>21</v>
      </c>
      <c r="C7" s="1" t="s">
        <v>111</v>
      </c>
      <c r="D7" s="1" t="s">
        <v>196</v>
      </c>
      <c r="E7" s="1" t="s">
        <v>229</v>
      </c>
      <c r="F7" s="10">
        <v>0</v>
      </c>
      <c r="G7" s="10">
        <v>0</v>
      </c>
      <c r="H7" s="10">
        <v>0</v>
      </c>
      <c r="I7" s="10">
        <f>0.4*0.9</f>
        <v>0.36000000000000004</v>
      </c>
      <c r="J7" s="10">
        <f>0.39*0.9</f>
        <v>0.35100000000000003</v>
      </c>
      <c r="K7" s="10">
        <f>0.39*0.9</f>
        <v>0.35100000000000003</v>
      </c>
      <c r="L7" s="10">
        <f>0.37*0.9</f>
        <v>0.33300000000000002</v>
      </c>
      <c r="M7" s="10">
        <f>0.36*0.9</f>
        <v>0.32400000000000001</v>
      </c>
      <c r="N7" s="10">
        <f>0.33*0.9</f>
        <v>0.29700000000000004</v>
      </c>
      <c r="O7" s="10">
        <v>0.2</v>
      </c>
      <c r="P7" s="10">
        <v>0.2</v>
      </c>
      <c r="Q7" s="10">
        <v>30</v>
      </c>
      <c r="R7" s="13" t="s">
        <v>228</v>
      </c>
      <c r="S7" s="13" t="s">
        <v>227</v>
      </c>
    </row>
    <row r="8" spans="1:19" x14ac:dyDescent="0.25">
      <c r="A8" s="1" t="s">
        <v>10</v>
      </c>
      <c r="B8" s="1" t="s">
        <v>22</v>
      </c>
      <c r="C8" s="1" t="s">
        <v>112</v>
      </c>
      <c r="D8" s="1" t="s">
        <v>197</v>
      </c>
      <c r="E8" s="1" t="s">
        <v>230</v>
      </c>
      <c r="F8" s="10">
        <v>0</v>
      </c>
      <c r="G8" s="10">
        <v>0</v>
      </c>
      <c r="H8" s="10">
        <f>0.85*0.9</f>
        <v>0.76500000000000001</v>
      </c>
      <c r="I8" s="10">
        <f>0.85*0.9</f>
        <v>0.76500000000000001</v>
      </c>
      <c r="J8" s="10">
        <f>0.8*0.9</f>
        <v>0.72000000000000008</v>
      </c>
      <c r="K8" s="10">
        <f>0.8*0.9</f>
        <v>0.72000000000000008</v>
      </c>
      <c r="L8" s="10">
        <f>0.75*0.9</f>
        <v>0.67500000000000004</v>
      </c>
      <c r="M8" s="10">
        <f>0.7*0.9</f>
        <v>0.63</v>
      </c>
      <c r="N8" s="10">
        <f>0.68*0.9</f>
        <v>0.6120000000000001</v>
      </c>
      <c r="O8" s="10">
        <v>0</v>
      </c>
      <c r="P8" s="10">
        <v>0</v>
      </c>
      <c r="Q8" s="10">
        <v>50</v>
      </c>
      <c r="R8" s="13" t="s">
        <v>231</v>
      </c>
      <c r="S8" s="13" t="s">
        <v>232</v>
      </c>
    </row>
    <row r="9" spans="1:19" x14ac:dyDescent="0.25">
      <c r="A9" s="1" t="s">
        <v>10</v>
      </c>
      <c r="B9" s="1" t="s">
        <v>23</v>
      </c>
      <c r="C9" s="1" t="s">
        <v>113</v>
      </c>
      <c r="D9" s="1" t="s">
        <v>196</v>
      </c>
      <c r="E9" s="1" t="s">
        <v>233</v>
      </c>
      <c r="F9" s="10">
        <v>0</v>
      </c>
      <c r="G9" s="10">
        <v>0</v>
      </c>
      <c r="H9" s="10">
        <f>0.622*0.9</f>
        <v>0.55979999999999996</v>
      </c>
      <c r="I9" s="10">
        <f>0.622*0.9</f>
        <v>0.55979999999999996</v>
      </c>
      <c r="J9" s="10">
        <f>0.258*0.9</f>
        <v>0.23220000000000002</v>
      </c>
      <c r="K9" s="10">
        <f>0.258*0.9</f>
        <v>0.23220000000000002</v>
      </c>
      <c r="L9" s="10">
        <f>0.216*0.9</f>
        <v>0.19439999999999999</v>
      </c>
      <c r="M9" s="10">
        <f>0.215*0.9</f>
        <v>0.19350000000000001</v>
      </c>
      <c r="N9" s="10">
        <f>0.177*0.9</f>
        <v>0.1593</v>
      </c>
      <c r="O9" s="10">
        <v>0</v>
      </c>
      <c r="P9" s="10">
        <v>0</v>
      </c>
      <c r="Q9" s="10">
        <v>50</v>
      </c>
      <c r="R9" s="13" t="s">
        <v>234</v>
      </c>
      <c r="S9" s="13" t="s">
        <v>227</v>
      </c>
    </row>
    <row r="10" spans="1:19" x14ac:dyDescent="0.25">
      <c r="A10" s="1" t="s">
        <v>10</v>
      </c>
      <c r="B10" s="1" t="s">
        <v>24</v>
      </c>
      <c r="C10" s="1" t="s">
        <v>114</v>
      </c>
      <c r="D10" s="1" t="s">
        <v>196</v>
      </c>
      <c r="E10" s="1" t="s">
        <v>230</v>
      </c>
      <c r="F10" s="10">
        <v>0</v>
      </c>
      <c r="G10" s="10">
        <f>0.79*0.9</f>
        <v>0.71100000000000008</v>
      </c>
      <c r="H10" s="10">
        <f>0.79*0.9</f>
        <v>0.71100000000000008</v>
      </c>
      <c r="I10" s="10">
        <f>0.79*0.9</f>
        <v>0.71100000000000008</v>
      </c>
      <c r="J10" s="10">
        <f>0.72*0.9</f>
        <v>0.64800000000000002</v>
      </c>
      <c r="K10" s="10">
        <f>0.72*0.9</f>
        <v>0.64800000000000002</v>
      </c>
      <c r="L10" s="10">
        <f>0.62*0.9</f>
        <v>0.55800000000000005</v>
      </c>
      <c r="M10" s="10">
        <f>0.59*0.9</f>
        <v>0.53100000000000003</v>
      </c>
      <c r="N10" s="10">
        <f>0.56*0.9</f>
        <v>0.50400000000000011</v>
      </c>
      <c r="O10" s="10">
        <v>0.05</v>
      </c>
      <c r="P10" s="10">
        <v>0.05</v>
      </c>
      <c r="Q10" s="10">
        <v>25</v>
      </c>
      <c r="R10" s="13" t="s">
        <v>235</v>
      </c>
      <c r="S10" s="13" t="s">
        <v>227</v>
      </c>
    </row>
    <row r="11" spans="1:19" x14ac:dyDescent="0.25">
      <c r="A11" s="1" t="s">
        <v>10</v>
      </c>
      <c r="B11" s="1" t="s">
        <v>25</v>
      </c>
      <c r="C11" s="1" t="s">
        <v>115</v>
      </c>
      <c r="D11" s="1" t="s">
        <v>196</v>
      </c>
      <c r="E11" s="1" t="s">
        <v>236</v>
      </c>
      <c r="F11" s="10">
        <v>0</v>
      </c>
      <c r="G11" s="10">
        <v>0</v>
      </c>
      <c r="H11" s="10">
        <v>0</v>
      </c>
      <c r="I11" s="10">
        <f>0.65*0.9</f>
        <v>0.58500000000000008</v>
      </c>
      <c r="J11" s="10">
        <f>0.6*0.9</f>
        <v>0.54</v>
      </c>
      <c r="K11" s="10">
        <f>0.6*0.9</f>
        <v>0.54</v>
      </c>
      <c r="L11" s="10">
        <f>0.55*0.9</f>
        <v>0.49500000000000005</v>
      </c>
      <c r="M11" s="10">
        <f>0.5*0.9</f>
        <v>0.45</v>
      </c>
      <c r="N11" s="10">
        <f>0.5*0.9</f>
        <v>0.45</v>
      </c>
      <c r="O11" s="10">
        <v>0</v>
      </c>
      <c r="P11" s="10">
        <v>0</v>
      </c>
      <c r="Q11" s="10">
        <v>60</v>
      </c>
      <c r="R11" s="13" t="s">
        <v>237</v>
      </c>
      <c r="S11" s="13" t="s">
        <v>227</v>
      </c>
    </row>
    <row r="12" spans="1:19" x14ac:dyDescent="0.25">
      <c r="A12" s="1" t="s">
        <v>10</v>
      </c>
      <c r="B12" s="1" t="s">
        <v>26</v>
      </c>
      <c r="C12" s="1" t="s">
        <v>116</v>
      </c>
      <c r="D12" s="1" t="s">
        <v>198</v>
      </c>
      <c r="E12" s="1" t="s">
        <v>233</v>
      </c>
      <c r="F12" s="10">
        <v>0</v>
      </c>
      <c r="G12" s="10">
        <v>0</v>
      </c>
      <c r="H12" s="10">
        <v>0</v>
      </c>
      <c r="I12" s="10"/>
      <c r="J12" s="10">
        <f>0.266*0.9</f>
        <v>0.23940000000000003</v>
      </c>
      <c r="K12" s="10">
        <f>0.266*0.9</f>
        <v>0.23940000000000003</v>
      </c>
      <c r="L12" s="10">
        <f>0.2*0.9</f>
        <v>0.18000000000000002</v>
      </c>
      <c r="M12" s="10">
        <f>0.172*0.9</f>
        <v>0.15479999999999999</v>
      </c>
      <c r="N12" s="10">
        <f>0.158*0.9</f>
        <v>0.14219999999999999</v>
      </c>
      <c r="O12" s="10">
        <v>0</v>
      </c>
      <c r="P12" s="10">
        <v>0</v>
      </c>
      <c r="Q12" s="10">
        <v>50</v>
      </c>
      <c r="R12" s="13" t="s">
        <v>238</v>
      </c>
      <c r="S12" s="13" t="s">
        <v>227</v>
      </c>
    </row>
    <row r="13" spans="1:19" x14ac:dyDescent="0.25">
      <c r="A13" s="1" t="s">
        <v>10</v>
      </c>
      <c r="B13" s="1" t="s">
        <v>27</v>
      </c>
      <c r="C13" s="1" t="s">
        <v>117</v>
      </c>
      <c r="D13" s="1" t="s">
        <v>196</v>
      </c>
      <c r="E13" s="1" t="s">
        <v>233</v>
      </c>
      <c r="F13" s="10">
        <v>0</v>
      </c>
      <c r="G13" s="10">
        <v>0</v>
      </c>
      <c r="H13" s="10">
        <v>0</v>
      </c>
      <c r="I13" s="10">
        <f>0.77*0.9</f>
        <v>0.69300000000000006</v>
      </c>
      <c r="J13" s="10">
        <f>0.73*0.9</f>
        <v>0.65700000000000003</v>
      </c>
      <c r="K13" s="10">
        <f>0.73*0.9</f>
        <v>0.65700000000000003</v>
      </c>
      <c r="L13" s="10">
        <f>0.7*0.9</f>
        <v>0.63</v>
      </c>
      <c r="M13" s="10">
        <f>0.65*0.9</f>
        <v>0.58500000000000008</v>
      </c>
      <c r="N13" s="10">
        <f>0.65*0.9</f>
        <v>0.58500000000000008</v>
      </c>
      <c r="O13" s="10">
        <v>0.15</v>
      </c>
      <c r="P13" s="10">
        <v>0.25</v>
      </c>
      <c r="Q13" s="10">
        <v>60</v>
      </c>
      <c r="R13" s="13" t="s">
        <v>237</v>
      </c>
      <c r="S13" s="13" t="s">
        <v>227</v>
      </c>
    </row>
    <row r="14" spans="1:19" x14ac:dyDescent="0.25">
      <c r="A14" s="1" t="s">
        <v>10</v>
      </c>
      <c r="B14" s="1" t="s">
        <v>28</v>
      </c>
      <c r="C14" s="1" t="s">
        <v>118</v>
      </c>
      <c r="D14" s="1" t="s">
        <v>198</v>
      </c>
      <c r="E14" s="1" t="s">
        <v>233</v>
      </c>
      <c r="F14" s="10">
        <v>0</v>
      </c>
      <c r="G14" s="10">
        <v>0</v>
      </c>
      <c r="H14" s="10">
        <v>0</v>
      </c>
      <c r="I14" s="10"/>
      <c r="J14" s="10">
        <f>0.684*0.9</f>
        <v>0.61560000000000004</v>
      </c>
      <c r="K14" s="10">
        <f>0.684*0.9</f>
        <v>0.61560000000000004</v>
      </c>
      <c r="L14" s="10">
        <f>0.5204*0.9</f>
        <v>0.46836</v>
      </c>
      <c r="M14" s="10">
        <f>0.4276*0.9</f>
        <v>0.38484000000000002</v>
      </c>
      <c r="N14" s="10">
        <f>0.3829*0.9</f>
        <v>0.34461000000000003</v>
      </c>
      <c r="O14" s="10">
        <v>0</v>
      </c>
      <c r="P14" s="10">
        <v>0</v>
      </c>
      <c r="Q14" s="10">
        <v>50</v>
      </c>
      <c r="R14" s="13" t="s">
        <v>239</v>
      </c>
      <c r="S14" s="13" t="s">
        <v>227</v>
      </c>
    </row>
    <row r="15" spans="1:19" x14ac:dyDescent="0.25">
      <c r="A15" s="1" t="s">
        <v>11</v>
      </c>
      <c r="B15" s="1" t="s">
        <v>29</v>
      </c>
      <c r="C15" s="1" t="s">
        <v>119</v>
      </c>
      <c r="D15" s="1" t="s">
        <v>199</v>
      </c>
      <c r="E15" s="1" t="s">
        <v>233</v>
      </c>
      <c r="F15" s="10">
        <v>0</v>
      </c>
      <c r="G15" s="10">
        <f>3.45*0.9</f>
        <v>3.1050000000000004</v>
      </c>
      <c r="H15" s="10">
        <f>2.92*0.9</f>
        <v>2.6280000000000001</v>
      </c>
      <c r="I15" s="10">
        <f>2.7*0.9</f>
        <v>2.4300000000000002</v>
      </c>
      <c r="J15" s="10">
        <f>2.28*0.9</f>
        <v>2.052</v>
      </c>
      <c r="K15" s="10">
        <f>2.28*0.9</f>
        <v>2.052</v>
      </c>
      <c r="L15" s="10">
        <f>2.23*0.9</f>
        <v>2.0070000000000001</v>
      </c>
      <c r="M15" s="10">
        <f>2.23*0.9</f>
        <v>2.0070000000000001</v>
      </c>
      <c r="N15" s="10">
        <f>2.23*0.9</f>
        <v>2.0070000000000001</v>
      </c>
      <c r="O15" s="10">
        <v>0.75</v>
      </c>
      <c r="P15" s="10">
        <v>0.75</v>
      </c>
      <c r="Q15" s="10">
        <v>60</v>
      </c>
      <c r="R15" s="13" t="s">
        <v>231</v>
      </c>
      <c r="S15" s="13" t="s">
        <v>227</v>
      </c>
    </row>
    <row r="16" spans="1:19" x14ac:dyDescent="0.25">
      <c r="A16" s="1" t="s">
        <v>11</v>
      </c>
      <c r="B16" s="1" t="s">
        <v>30</v>
      </c>
      <c r="C16" s="1" t="s">
        <v>120</v>
      </c>
      <c r="D16" s="1" t="s">
        <v>199</v>
      </c>
      <c r="E16" s="1" t="s">
        <v>233</v>
      </c>
      <c r="F16" s="10">
        <v>0</v>
      </c>
      <c r="G16" s="10">
        <f>2.9*0.9</f>
        <v>2.61</v>
      </c>
      <c r="H16" s="10">
        <f>2.8*0.9</f>
        <v>2.52</v>
      </c>
      <c r="I16" s="10">
        <f>2.7*0.9</f>
        <v>2.4300000000000002</v>
      </c>
      <c r="J16" s="10">
        <f>2.6*0.9</f>
        <v>2.3400000000000003</v>
      </c>
      <c r="K16" s="10">
        <f>2.6*0.9</f>
        <v>2.3400000000000003</v>
      </c>
      <c r="L16" s="10">
        <f>2.5*0.9</f>
        <v>2.25</v>
      </c>
      <c r="M16" s="10">
        <f>2.5*0.9</f>
        <v>2.25</v>
      </c>
      <c r="N16" s="10">
        <f>2.5*0.9</f>
        <v>2.25</v>
      </c>
      <c r="O16" s="10">
        <v>0.75</v>
      </c>
      <c r="P16" s="10">
        <v>0.75</v>
      </c>
      <c r="Q16" s="10">
        <v>60</v>
      </c>
      <c r="R16" s="13" t="s">
        <v>231</v>
      </c>
      <c r="S16" s="13" t="s">
        <v>227</v>
      </c>
    </row>
    <row r="17" spans="1:19" x14ac:dyDescent="0.25">
      <c r="A17" s="1" t="s">
        <v>11</v>
      </c>
      <c r="B17" s="1" t="s">
        <v>31</v>
      </c>
      <c r="C17" s="1" t="s">
        <v>121</v>
      </c>
      <c r="D17" s="1" t="s">
        <v>199</v>
      </c>
      <c r="E17" s="1" t="s">
        <v>233</v>
      </c>
      <c r="F17" s="10">
        <f>3.6*0.9</f>
        <v>3.24</v>
      </c>
      <c r="G17" s="10">
        <f>3.28*0.9</f>
        <v>2.952</v>
      </c>
      <c r="H17" s="10">
        <f>3.22*0.9</f>
        <v>2.8980000000000001</v>
      </c>
      <c r="I17" s="10">
        <f>3.05*0.9</f>
        <v>2.7450000000000001</v>
      </c>
      <c r="J17" s="10">
        <f>2.98*0.9</f>
        <v>2.6819999999999999</v>
      </c>
      <c r="K17" s="10">
        <f>2.98*0.9</f>
        <v>2.6819999999999999</v>
      </c>
      <c r="L17" s="10">
        <f>2.82*0.9</f>
        <v>2.5379999999999998</v>
      </c>
      <c r="M17" s="10">
        <f>2.82*0.9</f>
        <v>2.5379999999999998</v>
      </c>
      <c r="N17" s="10">
        <f>2.82*0.9</f>
        <v>2.5379999999999998</v>
      </c>
      <c r="O17" s="10">
        <v>0.6</v>
      </c>
      <c r="P17" s="10">
        <v>0.6</v>
      </c>
      <c r="Q17" s="10">
        <v>50</v>
      </c>
      <c r="R17" s="13" t="s">
        <v>231</v>
      </c>
      <c r="S17" s="13" t="s">
        <v>227</v>
      </c>
    </row>
    <row r="18" spans="1:19" x14ac:dyDescent="0.25">
      <c r="A18" s="1" t="s">
        <v>11</v>
      </c>
      <c r="B18" s="1" t="s">
        <v>32</v>
      </c>
      <c r="C18" s="1" t="s">
        <v>122</v>
      </c>
      <c r="D18" s="1" t="s">
        <v>198</v>
      </c>
      <c r="E18" s="1" t="s">
        <v>233</v>
      </c>
      <c r="F18" s="10">
        <v>0</v>
      </c>
      <c r="G18" s="10">
        <v>0</v>
      </c>
      <c r="H18" s="10">
        <f>7.08*0.9</f>
        <v>6.3719999999999999</v>
      </c>
      <c r="I18" s="10">
        <f>7.08*0.9</f>
        <v>6.3719999999999999</v>
      </c>
      <c r="J18" s="10">
        <f>6.2*0.9</f>
        <v>5.58</v>
      </c>
      <c r="K18" s="10">
        <f>6.2*0.9</f>
        <v>5.58</v>
      </c>
      <c r="L18" s="10">
        <f>3.36*0.9</f>
        <v>3.024</v>
      </c>
      <c r="M18" s="10">
        <f>3.36*0.9</f>
        <v>3.024</v>
      </c>
      <c r="N18" s="10">
        <f>3.1*0.9</f>
        <v>2.79</v>
      </c>
      <c r="O18" s="10">
        <v>0</v>
      </c>
      <c r="P18" s="10">
        <v>0</v>
      </c>
      <c r="Q18" s="10">
        <v>50</v>
      </c>
      <c r="R18" s="13" t="s">
        <v>240</v>
      </c>
      <c r="S18" s="13" t="s">
        <v>227</v>
      </c>
    </row>
    <row r="19" spans="1:19" x14ac:dyDescent="0.25">
      <c r="A19" s="1" t="s">
        <v>11</v>
      </c>
      <c r="B19" s="1" t="s">
        <v>33</v>
      </c>
      <c r="C19" s="1" t="s">
        <v>123</v>
      </c>
      <c r="D19" s="1" t="s">
        <v>198</v>
      </c>
      <c r="E19" s="1" t="s">
        <v>233</v>
      </c>
      <c r="F19" s="10">
        <v>0</v>
      </c>
      <c r="G19" s="10">
        <f>2.59*0.9</f>
        <v>2.331</v>
      </c>
      <c r="H19" s="10">
        <f>2.29*0.9</f>
        <v>2.0609999999999999</v>
      </c>
      <c r="I19" s="10">
        <f>2.19*0.9</f>
        <v>1.9710000000000001</v>
      </c>
      <c r="J19" s="10">
        <f>2.17*0.9</f>
        <v>1.9530000000000001</v>
      </c>
      <c r="K19" s="10">
        <f>2.17*0.9</f>
        <v>1.9530000000000001</v>
      </c>
      <c r="L19" s="10">
        <f>2.13*0.9</f>
        <v>1.917</v>
      </c>
      <c r="M19" s="10">
        <f>2.13*0.9</f>
        <v>1.917</v>
      </c>
      <c r="N19" s="10">
        <f>2.13*0.9</f>
        <v>1.917</v>
      </c>
      <c r="O19" s="10" t="s">
        <v>241</v>
      </c>
      <c r="P19" s="10" t="s">
        <v>241</v>
      </c>
      <c r="Q19" s="10">
        <v>50</v>
      </c>
      <c r="R19" s="13" t="s">
        <v>242</v>
      </c>
      <c r="S19" s="13" t="s">
        <v>227</v>
      </c>
    </row>
    <row r="20" spans="1:19" x14ac:dyDescent="0.25">
      <c r="A20" s="1" t="s">
        <v>11</v>
      </c>
      <c r="B20" s="1" t="s">
        <v>34</v>
      </c>
      <c r="C20" s="1" t="s">
        <v>124</v>
      </c>
      <c r="D20" s="1" t="s">
        <v>198</v>
      </c>
      <c r="E20" s="1" t="s">
        <v>233</v>
      </c>
      <c r="F20" s="10">
        <f>3.48*0.9</f>
        <v>3.1320000000000001</v>
      </c>
      <c r="G20" s="10">
        <f t="shared" ref="G20:N20" si="0">3.48*0.9</f>
        <v>3.1320000000000001</v>
      </c>
      <c r="H20" s="10">
        <f t="shared" si="0"/>
        <v>3.1320000000000001</v>
      </c>
      <c r="I20" s="10">
        <f t="shared" si="0"/>
        <v>3.1320000000000001</v>
      </c>
      <c r="J20" s="10">
        <f t="shared" si="0"/>
        <v>3.1320000000000001</v>
      </c>
      <c r="K20" s="10">
        <f t="shared" si="0"/>
        <v>3.1320000000000001</v>
      </c>
      <c r="L20" s="10">
        <f t="shared" si="0"/>
        <v>3.1320000000000001</v>
      </c>
      <c r="M20" s="10">
        <f t="shared" si="0"/>
        <v>3.1320000000000001</v>
      </c>
      <c r="N20" s="10">
        <f t="shared" si="0"/>
        <v>3.1320000000000001</v>
      </c>
      <c r="O20" s="10">
        <v>1</v>
      </c>
      <c r="P20" s="10">
        <v>1</v>
      </c>
      <c r="Q20" s="10">
        <v>75</v>
      </c>
      <c r="R20" s="13" t="s">
        <v>228</v>
      </c>
      <c r="S20" s="13" t="s">
        <v>227</v>
      </c>
    </row>
    <row r="21" spans="1:19" x14ac:dyDescent="0.25">
      <c r="A21" s="1" t="s">
        <v>11</v>
      </c>
      <c r="B21" s="1" t="s">
        <v>35</v>
      </c>
      <c r="C21" s="1" t="s">
        <v>125</v>
      </c>
      <c r="D21" s="1" t="s">
        <v>197</v>
      </c>
      <c r="E21" s="1" t="s">
        <v>230</v>
      </c>
      <c r="F21" s="10">
        <v>0</v>
      </c>
      <c r="G21" s="10">
        <v>0</v>
      </c>
      <c r="H21" s="10">
        <f>(9.56+1.75)*0.9</f>
        <v>10.179</v>
      </c>
      <c r="I21" s="10">
        <f>(9.28+1.75)*0.9</f>
        <v>9.9269999999999996</v>
      </c>
      <c r="J21" s="10">
        <f>(9.01+1.75)*0.9</f>
        <v>9.6839999999999993</v>
      </c>
      <c r="K21" s="10">
        <f>(9.01+1.75)*0.9</f>
        <v>9.6839999999999993</v>
      </c>
      <c r="L21" s="10">
        <f>(8.74+1.75)*0.9</f>
        <v>9.4410000000000007</v>
      </c>
      <c r="M21" s="10">
        <f>(8.74+1.75)*0.9</f>
        <v>9.4410000000000007</v>
      </c>
      <c r="N21" s="10">
        <f>(8.49+1.75)*0.9</f>
        <v>9.2160000000000011</v>
      </c>
      <c r="O21" s="10">
        <v>0.45</v>
      </c>
      <c r="P21" s="10">
        <v>0.45</v>
      </c>
      <c r="Q21" s="10">
        <v>60</v>
      </c>
      <c r="R21" s="13" t="s">
        <v>228</v>
      </c>
      <c r="S21" s="13" t="s">
        <v>232</v>
      </c>
    </row>
    <row r="22" spans="1:19" x14ac:dyDescent="0.25">
      <c r="A22" s="1" t="s">
        <v>11</v>
      </c>
      <c r="B22" s="1" t="s">
        <v>36</v>
      </c>
      <c r="C22" s="1" t="s">
        <v>126</v>
      </c>
      <c r="D22" s="1" t="s">
        <v>198</v>
      </c>
      <c r="E22" s="1" t="s">
        <v>233</v>
      </c>
      <c r="F22" s="10">
        <v>0</v>
      </c>
      <c r="G22" s="10">
        <v>0</v>
      </c>
      <c r="H22" s="10">
        <f>2.86*0.9</f>
        <v>2.5739999999999998</v>
      </c>
      <c r="I22" s="10">
        <f>2.86*0.9</f>
        <v>2.5739999999999998</v>
      </c>
      <c r="J22" s="10">
        <f>2.66*0.9</f>
        <v>2.3940000000000001</v>
      </c>
      <c r="K22" s="10">
        <f>2.66*0.9</f>
        <v>2.3940000000000001</v>
      </c>
      <c r="L22" s="10">
        <f>2.45*0.9</f>
        <v>2.2050000000000001</v>
      </c>
      <c r="M22" s="10">
        <f>2.25*0.9</f>
        <v>2.0249999999999999</v>
      </c>
      <c r="N22" s="10">
        <f>2.25*0.9</f>
        <v>2.0249999999999999</v>
      </c>
      <c r="O22" s="10">
        <v>0.4</v>
      </c>
      <c r="P22" s="10">
        <v>0.4</v>
      </c>
      <c r="Q22" s="10">
        <v>55</v>
      </c>
      <c r="R22" s="13" t="s">
        <v>243</v>
      </c>
      <c r="S22" s="13" t="s">
        <v>232</v>
      </c>
    </row>
    <row r="23" spans="1:19" x14ac:dyDescent="0.25">
      <c r="A23" s="1" t="s">
        <v>11</v>
      </c>
      <c r="B23" s="1" t="s">
        <v>37</v>
      </c>
      <c r="C23" s="1" t="s">
        <v>127</v>
      </c>
      <c r="D23" s="1" t="s">
        <v>197</v>
      </c>
      <c r="E23" s="1" t="s">
        <v>230</v>
      </c>
      <c r="F23" s="10">
        <f>9.02*0.9</f>
        <v>8.1180000000000003</v>
      </c>
      <c r="G23" s="10">
        <f>8.75*0.9</f>
        <v>7.875</v>
      </c>
      <c r="H23" s="10">
        <f>8.63*0.9</f>
        <v>7.7670000000000012</v>
      </c>
      <c r="I23" s="10">
        <f>8.5*0.9</f>
        <v>7.65</v>
      </c>
      <c r="J23" s="10">
        <f>8.41*0.9</f>
        <v>7.569</v>
      </c>
      <c r="K23" s="10">
        <f>8.41*0.9</f>
        <v>7.569</v>
      </c>
      <c r="L23" s="10">
        <f>8.22*0.9</f>
        <v>7.3980000000000006</v>
      </c>
      <c r="M23" s="10">
        <f t="shared" ref="M23:N23" si="1">8.22*0.9</f>
        <v>7.3980000000000006</v>
      </c>
      <c r="N23" s="10">
        <f t="shared" si="1"/>
        <v>7.3980000000000006</v>
      </c>
      <c r="O23" s="10">
        <v>1</v>
      </c>
      <c r="P23" s="10">
        <v>1</v>
      </c>
      <c r="Q23" s="10">
        <v>56.25</v>
      </c>
      <c r="R23" s="13" t="s">
        <v>244</v>
      </c>
      <c r="S23" s="13" t="s">
        <v>227</v>
      </c>
    </row>
    <row r="24" spans="1:19" x14ac:dyDescent="0.25">
      <c r="A24" s="1" t="s">
        <v>11</v>
      </c>
      <c r="B24" s="1" t="s">
        <v>38</v>
      </c>
      <c r="C24" s="1" t="s">
        <v>128</v>
      </c>
      <c r="D24" s="1" t="s">
        <v>198</v>
      </c>
      <c r="E24" s="1" t="s">
        <v>245</v>
      </c>
      <c r="F24" s="10">
        <v>0</v>
      </c>
      <c r="G24" s="10">
        <v>0</v>
      </c>
      <c r="H24" s="10">
        <v>0</v>
      </c>
      <c r="I24" s="10">
        <f>0.55*0.9</f>
        <v>0.49500000000000005</v>
      </c>
      <c r="J24" s="10">
        <f>0.53*0.9</f>
        <v>0.47700000000000004</v>
      </c>
      <c r="K24" s="10">
        <f>0.53*0.9</f>
        <v>0.47700000000000004</v>
      </c>
      <c r="L24" s="10">
        <f>0.52*0.9</f>
        <v>0.46800000000000003</v>
      </c>
      <c r="M24" s="10">
        <f>0.52*0.9</f>
        <v>0.46800000000000003</v>
      </c>
      <c r="N24" s="10">
        <f>0.5*0.9</f>
        <v>0.45</v>
      </c>
      <c r="O24" s="10">
        <v>0.55000000000000004</v>
      </c>
      <c r="P24" s="10">
        <v>0.55000000000000004</v>
      </c>
      <c r="Q24" s="10">
        <v>40</v>
      </c>
      <c r="R24" s="13" t="s">
        <v>246</v>
      </c>
      <c r="S24" s="13" t="s">
        <v>227</v>
      </c>
    </row>
    <row r="25" spans="1:19" x14ac:dyDescent="0.25">
      <c r="A25" s="1" t="s">
        <v>11</v>
      </c>
      <c r="B25" s="1" t="s">
        <v>39</v>
      </c>
      <c r="C25" s="1" t="s">
        <v>128</v>
      </c>
      <c r="D25" s="1" t="s">
        <v>198</v>
      </c>
      <c r="E25" s="1" t="s">
        <v>245</v>
      </c>
      <c r="F25" s="10">
        <v>0</v>
      </c>
      <c r="G25" s="10">
        <f>0.98*0.9</f>
        <v>0.88200000000000001</v>
      </c>
      <c r="H25" s="10">
        <f>0.75*0.9</f>
        <v>0.67500000000000004</v>
      </c>
      <c r="I25" s="10">
        <f>0.75*0.9</f>
        <v>0.67500000000000004</v>
      </c>
      <c r="J25" s="10">
        <f>0.62*0.9</f>
        <v>0.55800000000000005</v>
      </c>
      <c r="K25" s="10">
        <f>0.62*0.9</f>
        <v>0.55800000000000005</v>
      </c>
      <c r="L25" s="10">
        <f>0.57*0.9</f>
        <v>0.51300000000000001</v>
      </c>
      <c r="M25" s="10">
        <f t="shared" ref="M25" si="2">0.57*0.9</f>
        <v>0.51300000000000001</v>
      </c>
      <c r="N25" s="10">
        <f>0.55*0.9</f>
        <v>0.49500000000000005</v>
      </c>
      <c r="O25" s="10">
        <v>0</v>
      </c>
      <c r="P25" s="10">
        <v>0</v>
      </c>
      <c r="Q25" s="10">
        <v>40</v>
      </c>
      <c r="R25" s="13" t="s">
        <v>247</v>
      </c>
      <c r="S25" s="13" t="s">
        <v>232</v>
      </c>
    </row>
    <row r="26" spans="1:19" x14ac:dyDescent="0.25">
      <c r="A26" s="1" t="s">
        <v>11</v>
      </c>
      <c r="B26" s="1" t="s">
        <v>40</v>
      </c>
      <c r="C26" s="1" t="s">
        <v>129</v>
      </c>
      <c r="D26" s="1" t="s">
        <v>198</v>
      </c>
      <c r="E26" s="1" t="s">
        <v>245</v>
      </c>
      <c r="F26" s="10">
        <v>0</v>
      </c>
      <c r="G26" s="10">
        <v>0</v>
      </c>
      <c r="H26" s="10">
        <f>1.33*0.9</f>
        <v>1.1970000000000001</v>
      </c>
      <c r="I26" s="10">
        <f>1.33*0.9</f>
        <v>1.1970000000000001</v>
      </c>
      <c r="J26" s="10">
        <f>1.22*0.9</f>
        <v>1.0980000000000001</v>
      </c>
      <c r="K26" s="10">
        <f>1.22*0.9</f>
        <v>1.0980000000000001</v>
      </c>
      <c r="L26" s="10">
        <f>1.05*0.9</f>
        <v>0.94500000000000006</v>
      </c>
      <c r="M26" s="10">
        <f>1.05*0.9</f>
        <v>0.94500000000000006</v>
      </c>
      <c r="N26" s="10">
        <f>0.98*0.9</f>
        <v>0.88200000000000001</v>
      </c>
      <c r="O26" s="10">
        <v>0</v>
      </c>
      <c r="P26" s="10">
        <v>0</v>
      </c>
      <c r="Q26" s="10">
        <v>75</v>
      </c>
      <c r="R26" s="13" t="s">
        <v>248</v>
      </c>
      <c r="S26" s="13" t="s">
        <v>227</v>
      </c>
    </row>
    <row r="27" spans="1:19" x14ac:dyDescent="0.25">
      <c r="A27" s="1" t="s">
        <v>12</v>
      </c>
      <c r="B27" s="1" t="s">
        <v>41</v>
      </c>
      <c r="C27" s="1" t="s">
        <v>130</v>
      </c>
      <c r="D27" s="1" t="s">
        <v>200</v>
      </c>
      <c r="E27" s="1" t="s">
        <v>269</v>
      </c>
      <c r="F27" s="10">
        <v>7.75</v>
      </c>
      <c r="G27" s="10">
        <v>7.75</v>
      </c>
      <c r="H27" s="10">
        <v>7.5</v>
      </c>
      <c r="I27" s="10">
        <v>7.35</v>
      </c>
      <c r="J27" s="10">
        <v>7.15</v>
      </c>
      <c r="K27" s="10">
        <v>7</v>
      </c>
      <c r="L27" s="10">
        <v>6.95</v>
      </c>
      <c r="M27" s="10">
        <v>6.8</v>
      </c>
      <c r="N27" s="10">
        <v>6.5</v>
      </c>
      <c r="O27" s="10">
        <v>0.5</v>
      </c>
      <c r="P27" s="10">
        <v>1.25</v>
      </c>
      <c r="Q27" s="10">
        <v>25</v>
      </c>
      <c r="R27" s="13" t="s">
        <v>272</v>
      </c>
      <c r="S27" s="13" t="s">
        <v>227</v>
      </c>
    </row>
    <row r="28" spans="1:19" x14ac:dyDescent="0.25">
      <c r="A28" s="1" t="s">
        <v>12</v>
      </c>
      <c r="B28" s="1" t="s">
        <v>42</v>
      </c>
      <c r="C28" s="1" t="s">
        <v>131</v>
      </c>
      <c r="D28" s="1" t="s">
        <v>200</v>
      </c>
      <c r="E28" s="1" t="s">
        <v>270</v>
      </c>
      <c r="F28" s="10">
        <v>7.95</v>
      </c>
      <c r="G28" s="10">
        <v>7.95</v>
      </c>
      <c r="H28" s="10">
        <v>7.75</v>
      </c>
      <c r="I28" s="10">
        <v>7.65</v>
      </c>
      <c r="J28" s="10">
        <v>7.6</v>
      </c>
      <c r="K28" s="10">
        <v>7.5</v>
      </c>
      <c r="L28" s="10">
        <v>7.5</v>
      </c>
      <c r="M28" s="10">
        <v>7.5</v>
      </c>
      <c r="N28" s="10">
        <v>7.5</v>
      </c>
      <c r="O28" s="10">
        <v>0.5</v>
      </c>
      <c r="P28" s="10">
        <v>1.25</v>
      </c>
      <c r="Q28" s="10">
        <v>25</v>
      </c>
      <c r="R28" s="13" t="s">
        <v>272</v>
      </c>
      <c r="S28" s="13" t="s">
        <v>227</v>
      </c>
    </row>
    <row r="29" spans="1:19" x14ac:dyDescent="0.25">
      <c r="A29" s="1" t="s">
        <v>12</v>
      </c>
      <c r="B29" s="1" t="s">
        <v>43</v>
      </c>
      <c r="C29" s="1" t="s">
        <v>132</v>
      </c>
      <c r="D29" s="1" t="s">
        <v>200</v>
      </c>
      <c r="E29" s="1" t="s">
        <v>233</v>
      </c>
      <c r="F29" s="10">
        <v>13.75</v>
      </c>
      <c r="G29" s="10">
        <v>13.75</v>
      </c>
      <c r="H29" s="10">
        <v>13.5</v>
      </c>
      <c r="I29" s="10">
        <v>13.35</v>
      </c>
      <c r="J29" s="10">
        <v>13.25</v>
      </c>
      <c r="K29" s="10">
        <v>13.05</v>
      </c>
      <c r="L29" s="10">
        <v>12.95</v>
      </c>
      <c r="M29" s="10">
        <v>12.95</v>
      </c>
      <c r="N29" s="10">
        <v>12.8</v>
      </c>
      <c r="O29" s="10">
        <v>0.5</v>
      </c>
      <c r="P29" s="10">
        <v>1.25</v>
      </c>
      <c r="Q29" s="10">
        <v>25</v>
      </c>
      <c r="R29" s="13" t="s">
        <v>272</v>
      </c>
      <c r="S29" s="13" t="s">
        <v>227</v>
      </c>
    </row>
    <row r="30" spans="1:19" x14ac:dyDescent="0.25">
      <c r="A30" s="1" t="s">
        <v>12</v>
      </c>
      <c r="B30" s="1" t="s">
        <v>44</v>
      </c>
      <c r="C30" s="1" t="s">
        <v>131</v>
      </c>
      <c r="D30" s="1" t="s">
        <v>201</v>
      </c>
      <c r="E30" s="1" t="s">
        <v>271</v>
      </c>
      <c r="F30" s="10">
        <v>17.75</v>
      </c>
      <c r="G30" s="10">
        <v>17.75</v>
      </c>
      <c r="H30" s="10">
        <v>17.25</v>
      </c>
      <c r="I30" s="10">
        <v>17</v>
      </c>
      <c r="J30" s="10">
        <v>16.850000000000001</v>
      </c>
      <c r="K30" s="10">
        <v>16.5</v>
      </c>
      <c r="L30" s="10">
        <v>16.25</v>
      </c>
      <c r="M30" s="10">
        <v>16.25</v>
      </c>
      <c r="N30" s="10">
        <v>15.75</v>
      </c>
      <c r="O30" s="10">
        <v>0</v>
      </c>
      <c r="P30" s="10">
        <v>3.5</v>
      </c>
      <c r="Q30" s="10">
        <v>20</v>
      </c>
      <c r="R30" s="13" t="s">
        <v>272</v>
      </c>
      <c r="S30" s="13" t="s">
        <v>227</v>
      </c>
    </row>
    <row r="31" spans="1:19" x14ac:dyDescent="0.25">
      <c r="A31" s="1" t="s">
        <v>12</v>
      </c>
      <c r="B31" s="1" t="s">
        <v>45</v>
      </c>
      <c r="C31" s="1" t="s">
        <v>133</v>
      </c>
      <c r="D31" s="1" t="s">
        <v>201</v>
      </c>
      <c r="E31" s="1" t="s">
        <v>271</v>
      </c>
      <c r="F31" s="10">
        <v>22.5</v>
      </c>
      <c r="G31" s="10">
        <v>22.5</v>
      </c>
      <c r="H31" s="10">
        <v>21.95</v>
      </c>
      <c r="I31" s="10">
        <v>21.75</v>
      </c>
      <c r="J31" s="10">
        <v>21.25</v>
      </c>
      <c r="K31" s="10">
        <v>21.05</v>
      </c>
      <c r="L31" s="10">
        <v>19.95</v>
      </c>
      <c r="M31" s="10">
        <v>19.95</v>
      </c>
      <c r="N31" s="10">
        <v>19.25</v>
      </c>
      <c r="O31" s="10">
        <v>0</v>
      </c>
      <c r="P31" s="10">
        <v>3.5</v>
      </c>
      <c r="Q31" s="10">
        <v>20</v>
      </c>
      <c r="R31" s="13" t="s">
        <v>272</v>
      </c>
      <c r="S31" s="13" t="s">
        <v>227</v>
      </c>
    </row>
    <row r="32" spans="1:19" x14ac:dyDescent="0.25">
      <c r="A32" s="1" t="s">
        <v>12</v>
      </c>
      <c r="B32" s="1" t="s">
        <v>46</v>
      </c>
      <c r="C32" s="1" t="s">
        <v>134</v>
      </c>
      <c r="D32" s="1" t="s">
        <v>200</v>
      </c>
      <c r="E32" s="1" t="s">
        <v>233</v>
      </c>
      <c r="F32" s="10">
        <v>21.5</v>
      </c>
      <c r="G32" s="10">
        <v>21.5</v>
      </c>
      <c r="H32" s="10">
        <v>21</v>
      </c>
      <c r="I32" s="10">
        <v>19.75</v>
      </c>
      <c r="J32" s="10">
        <v>19.5</v>
      </c>
      <c r="K32" s="10">
        <v>19.25</v>
      </c>
      <c r="L32" s="10">
        <v>19.190000000000001</v>
      </c>
      <c r="M32" s="10">
        <v>19.190000000000001</v>
      </c>
      <c r="N32" s="10">
        <v>18.850000000000001</v>
      </c>
      <c r="O32" s="10">
        <v>0.5</v>
      </c>
      <c r="P32" s="10">
        <v>1.25</v>
      </c>
      <c r="Q32" s="10">
        <v>25</v>
      </c>
      <c r="R32" s="13" t="s">
        <v>272</v>
      </c>
      <c r="S32" s="13" t="s">
        <v>227</v>
      </c>
    </row>
    <row r="33" spans="1:19" x14ac:dyDescent="0.25">
      <c r="A33" s="1" t="s">
        <v>12</v>
      </c>
      <c r="B33" s="1" t="s">
        <v>47</v>
      </c>
      <c r="C33" s="1" t="s">
        <v>135</v>
      </c>
      <c r="D33" s="1" t="s">
        <v>201</v>
      </c>
      <c r="E33" s="1" t="s">
        <v>271</v>
      </c>
      <c r="F33" s="10">
        <v>29.75</v>
      </c>
      <c r="G33" s="10">
        <v>29.75</v>
      </c>
      <c r="H33" s="10">
        <v>28.75</v>
      </c>
      <c r="I33" s="10">
        <v>28.5</v>
      </c>
      <c r="J33" s="10">
        <v>28.25</v>
      </c>
      <c r="K33" s="10">
        <v>28</v>
      </c>
      <c r="L33" s="10">
        <v>27.75</v>
      </c>
      <c r="M33" s="10">
        <v>27.75</v>
      </c>
      <c r="N33" s="10">
        <v>27</v>
      </c>
      <c r="O33" s="10">
        <v>0</v>
      </c>
      <c r="P33" s="10">
        <v>1.25</v>
      </c>
      <c r="Q33" s="10">
        <v>20</v>
      </c>
      <c r="R33" s="13" t="s">
        <v>272</v>
      </c>
      <c r="S33" s="13" t="s">
        <v>227</v>
      </c>
    </row>
    <row r="34" spans="1:19" x14ac:dyDescent="0.25">
      <c r="A34" s="1" t="s">
        <v>12</v>
      </c>
      <c r="B34" s="1" t="s">
        <v>48</v>
      </c>
      <c r="C34" s="1" t="s">
        <v>136</v>
      </c>
      <c r="D34" s="1" t="s">
        <v>202</v>
      </c>
      <c r="E34" s="1" t="s">
        <v>271</v>
      </c>
      <c r="F34" s="10">
        <v>11.75</v>
      </c>
      <c r="G34" s="10">
        <v>11.75</v>
      </c>
      <c r="H34" s="10">
        <v>11.5</v>
      </c>
      <c r="I34" s="10">
        <v>11.25</v>
      </c>
      <c r="J34" s="10">
        <v>11</v>
      </c>
      <c r="K34" s="10">
        <v>10.75</v>
      </c>
      <c r="L34" s="10">
        <v>10.5</v>
      </c>
      <c r="M34" s="10">
        <v>10.5</v>
      </c>
      <c r="N34" s="10">
        <v>10</v>
      </c>
      <c r="O34" s="10">
        <v>0</v>
      </c>
      <c r="P34" s="10">
        <v>3.5</v>
      </c>
      <c r="Q34" s="10">
        <v>20</v>
      </c>
      <c r="R34" s="13" t="s">
        <v>272</v>
      </c>
      <c r="S34" s="13" t="s">
        <v>227</v>
      </c>
    </row>
    <row r="35" spans="1:19" x14ac:dyDescent="0.25">
      <c r="A35" s="1" t="s">
        <v>12</v>
      </c>
      <c r="B35" s="1" t="s">
        <v>49</v>
      </c>
      <c r="C35" s="1" t="s">
        <v>137</v>
      </c>
      <c r="D35" s="1" t="s">
        <v>202</v>
      </c>
      <c r="E35" s="1" t="s">
        <v>271</v>
      </c>
      <c r="F35" s="10">
        <v>11.5</v>
      </c>
      <c r="G35" s="10">
        <v>11.5</v>
      </c>
      <c r="H35" s="10">
        <v>11.25</v>
      </c>
      <c r="I35" s="10">
        <v>11</v>
      </c>
      <c r="J35" s="10">
        <v>10.85</v>
      </c>
      <c r="K35" s="10">
        <v>10.65</v>
      </c>
      <c r="L35" s="10">
        <v>10.25</v>
      </c>
      <c r="M35" s="10">
        <v>10.25</v>
      </c>
      <c r="N35" s="10">
        <v>10</v>
      </c>
      <c r="O35" s="10">
        <v>0</v>
      </c>
      <c r="P35" s="10">
        <v>3.5</v>
      </c>
      <c r="Q35" s="10">
        <v>20</v>
      </c>
      <c r="R35" s="13" t="s">
        <v>272</v>
      </c>
      <c r="S35" s="13" t="s">
        <v>227</v>
      </c>
    </row>
    <row r="36" spans="1:19" x14ac:dyDescent="0.25">
      <c r="A36" s="1" t="s">
        <v>12</v>
      </c>
      <c r="B36" s="1" t="s">
        <v>50</v>
      </c>
      <c r="C36" s="1" t="s">
        <v>138</v>
      </c>
      <c r="D36" s="1" t="s">
        <v>202</v>
      </c>
      <c r="E36" s="1" t="s">
        <v>271</v>
      </c>
      <c r="F36" s="10">
        <v>11.5</v>
      </c>
      <c r="G36" s="10">
        <v>11.5</v>
      </c>
      <c r="H36" s="10">
        <v>11.25</v>
      </c>
      <c r="I36" s="10">
        <v>11</v>
      </c>
      <c r="J36" s="10">
        <v>10.86</v>
      </c>
      <c r="K36" s="10">
        <v>10.65</v>
      </c>
      <c r="L36" s="10">
        <v>10.25</v>
      </c>
      <c r="M36" s="10">
        <v>10.25</v>
      </c>
      <c r="N36" s="10">
        <v>10</v>
      </c>
      <c r="O36" s="10">
        <v>0</v>
      </c>
      <c r="P36" s="10">
        <v>3.5</v>
      </c>
      <c r="Q36" s="10">
        <v>20</v>
      </c>
      <c r="R36" s="13" t="s">
        <v>272</v>
      </c>
      <c r="S36" s="13" t="s">
        <v>227</v>
      </c>
    </row>
    <row r="37" spans="1:19" x14ac:dyDescent="0.25">
      <c r="A37" s="1" t="s">
        <v>13</v>
      </c>
      <c r="B37" s="1" t="s">
        <v>51</v>
      </c>
      <c r="C37" s="1" t="s">
        <v>139</v>
      </c>
      <c r="D37" s="1" t="s">
        <v>203</v>
      </c>
      <c r="E37" s="1" t="s">
        <v>233</v>
      </c>
      <c r="F37" s="10">
        <v>0</v>
      </c>
      <c r="G37" s="10">
        <v>0</v>
      </c>
      <c r="H37" s="10">
        <f>2.55*0.9</f>
        <v>2.2949999999999999</v>
      </c>
      <c r="I37" s="10">
        <f>2.45*0.9</f>
        <v>2.2050000000000001</v>
      </c>
      <c r="J37" s="10">
        <f>2.35*0.9</f>
        <v>2.1150000000000002</v>
      </c>
      <c r="K37" s="10">
        <f>2.35*0.9</f>
        <v>2.1150000000000002</v>
      </c>
      <c r="L37" s="10">
        <f>2.25*0.9</f>
        <v>2.0249999999999999</v>
      </c>
      <c r="M37" s="10">
        <f>2.15*0.9</f>
        <v>1.9350000000000001</v>
      </c>
      <c r="N37" s="10">
        <f>2.15*0.9</f>
        <v>1.9350000000000001</v>
      </c>
      <c r="O37" s="10">
        <v>0.5</v>
      </c>
      <c r="P37" s="10">
        <v>0.55000000000000004</v>
      </c>
      <c r="Q37" s="10">
        <v>55</v>
      </c>
      <c r="R37" s="13" t="s">
        <v>249</v>
      </c>
      <c r="S37" s="13" t="s">
        <v>227</v>
      </c>
    </row>
    <row r="38" spans="1:19" x14ac:dyDescent="0.25">
      <c r="A38" s="1" t="s">
        <v>13</v>
      </c>
      <c r="B38" s="1" t="s">
        <v>52</v>
      </c>
      <c r="C38" s="1" t="s">
        <v>140</v>
      </c>
      <c r="D38" s="1" t="s">
        <v>203</v>
      </c>
      <c r="E38" s="1" t="s">
        <v>233</v>
      </c>
      <c r="F38" s="10">
        <v>0</v>
      </c>
      <c r="G38" s="10">
        <v>0</v>
      </c>
      <c r="H38" s="10">
        <f>2.35*0.9</f>
        <v>2.1150000000000002</v>
      </c>
      <c r="I38" s="10">
        <f>2.25*0.9</f>
        <v>2.0249999999999999</v>
      </c>
      <c r="J38" s="10">
        <f>2.15*0.9</f>
        <v>1.9350000000000001</v>
      </c>
      <c r="K38" s="10">
        <f>2.15*0.9</f>
        <v>1.9350000000000001</v>
      </c>
      <c r="L38" s="10">
        <f>2.05*0.9</f>
        <v>1.845</v>
      </c>
      <c r="M38" s="10">
        <f>1.95*0.9</f>
        <v>1.7549999999999999</v>
      </c>
      <c r="N38" s="10">
        <f>1.95*0.9</f>
        <v>1.7549999999999999</v>
      </c>
      <c r="O38" s="10">
        <v>0.5</v>
      </c>
      <c r="P38" s="10">
        <v>0.5</v>
      </c>
      <c r="Q38" s="10">
        <v>55</v>
      </c>
      <c r="R38" s="13" t="s">
        <v>228</v>
      </c>
      <c r="S38" s="13" t="s">
        <v>232</v>
      </c>
    </row>
    <row r="39" spans="1:19" x14ac:dyDescent="0.25">
      <c r="A39" s="1" t="s">
        <v>13</v>
      </c>
      <c r="B39" s="1" t="s">
        <v>53</v>
      </c>
      <c r="C39" s="1" t="s">
        <v>141</v>
      </c>
      <c r="D39" s="1" t="s">
        <v>198</v>
      </c>
      <c r="E39" s="1" t="s">
        <v>233</v>
      </c>
      <c r="F39" s="10">
        <v>0</v>
      </c>
      <c r="G39" s="10">
        <v>0</v>
      </c>
      <c r="H39" s="10">
        <f>1.12*0.9</f>
        <v>1.0080000000000002</v>
      </c>
      <c r="I39" s="10">
        <f>1.1*0.9</f>
        <v>0.9900000000000001</v>
      </c>
      <c r="J39" s="10">
        <f t="shared" ref="J39:K39" si="3">1.1*0.9</f>
        <v>0.9900000000000001</v>
      </c>
      <c r="K39" s="10">
        <f t="shared" si="3"/>
        <v>0.9900000000000001</v>
      </c>
      <c r="L39" s="10">
        <f>1.07*0.9</f>
        <v>0.96300000000000008</v>
      </c>
      <c r="M39" s="10">
        <f>1.05*0.9</f>
        <v>0.94500000000000006</v>
      </c>
      <c r="N39" s="10">
        <f>1.05*0.9</f>
        <v>0.94500000000000006</v>
      </c>
      <c r="O39" s="10">
        <v>0.2</v>
      </c>
      <c r="P39" s="10">
        <v>0.4</v>
      </c>
      <c r="Q39" s="10">
        <v>40</v>
      </c>
      <c r="R39" s="13" t="s">
        <v>250</v>
      </c>
      <c r="S39" s="13" t="s">
        <v>227</v>
      </c>
    </row>
    <row r="40" spans="1:19" x14ac:dyDescent="0.25">
      <c r="A40" s="1" t="s">
        <v>13</v>
      </c>
      <c r="B40" s="1" t="s">
        <v>54</v>
      </c>
      <c r="C40" s="1" t="s">
        <v>142</v>
      </c>
      <c r="D40" s="1" t="s">
        <v>198</v>
      </c>
      <c r="E40" s="1" t="s">
        <v>252</v>
      </c>
      <c r="F40" s="10">
        <v>0</v>
      </c>
      <c r="G40" s="10">
        <v>0</v>
      </c>
      <c r="H40" s="10">
        <f>4.45*0.9</f>
        <v>4.0049999999999999</v>
      </c>
      <c r="I40" s="10">
        <f>4.45*0.9</f>
        <v>4.0049999999999999</v>
      </c>
      <c r="J40" s="10">
        <f>4.3*0.9</f>
        <v>3.87</v>
      </c>
      <c r="K40" s="10">
        <f>3.7*0.9</f>
        <v>3.33</v>
      </c>
      <c r="L40" s="10">
        <f>3.6*0.9</f>
        <v>3.24</v>
      </c>
      <c r="M40" s="10">
        <f>3.4*0.9</f>
        <v>3.06</v>
      </c>
      <c r="N40" s="10">
        <f>2.5*0.9</f>
        <v>2.25</v>
      </c>
      <c r="O40" s="10">
        <v>0</v>
      </c>
      <c r="P40" s="10">
        <v>0</v>
      </c>
      <c r="Q40" s="10">
        <v>50</v>
      </c>
      <c r="R40" s="13" t="s">
        <v>251</v>
      </c>
      <c r="S40" s="13" t="s">
        <v>227</v>
      </c>
    </row>
    <row r="41" spans="1:19" x14ac:dyDescent="0.25">
      <c r="A41" s="1" t="s">
        <v>13</v>
      </c>
      <c r="B41" s="1" t="s">
        <v>55</v>
      </c>
      <c r="C41" s="1" t="s">
        <v>143</v>
      </c>
      <c r="D41" s="1" t="s">
        <v>198</v>
      </c>
      <c r="E41" s="1" t="s">
        <v>233</v>
      </c>
      <c r="F41" s="10">
        <v>0</v>
      </c>
      <c r="G41" s="10">
        <v>0</v>
      </c>
      <c r="H41" s="10">
        <f>4.73*0.9</f>
        <v>4.2570000000000006</v>
      </c>
      <c r="I41" s="10">
        <f>4.27*0.9</f>
        <v>3.8429999999999995</v>
      </c>
      <c r="J41" s="10">
        <f>3.74*0.9</f>
        <v>3.3660000000000001</v>
      </c>
      <c r="K41" s="10">
        <f>3.74*0.9</f>
        <v>3.3660000000000001</v>
      </c>
      <c r="L41" s="10">
        <f>3.69*0.9</f>
        <v>3.3210000000000002</v>
      </c>
      <c r="M41" s="10">
        <f>3.6*0.9</f>
        <v>3.24</v>
      </c>
      <c r="N41" s="10">
        <f>3.6*0.9</f>
        <v>3.24</v>
      </c>
      <c r="O41" s="10">
        <v>0.05</v>
      </c>
      <c r="P41" s="10">
        <v>0.05</v>
      </c>
      <c r="Q41" s="10">
        <v>50</v>
      </c>
      <c r="R41" s="13" t="s">
        <v>253</v>
      </c>
      <c r="S41" s="13" t="s">
        <v>227</v>
      </c>
    </row>
    <row r="42" spans="1:19" x14ac:dyDescent="0.25">
      <c r="A42" s="1" t="s">
        <v>13</v>
      </c>
      <c r="B42" s="1" t="s">
        <v>56</v>
      </c>
      <c r="C42" s="1" t="s">
        <v>144</v>
      </c>
      <c r="D42" s="1" t="s">
        <v>198</v>
      </c>
      <c r="E42" s="1" t="s">
        <v>254</v>
      </c>
      <c r="F42" s="10">
        <v>0</v>
      </c>
      <c r="G42" s="10">
        <f>5.3*0.9</f>
        <v>4.7699999999999996</v>
      </c>
      <c r="H42" s="10">
        <f>5.05*0.9</f>
        <v>4.5449999999999999</v>
      </c>
      <c r="I42" s="10">
        <f>4.82*0.9</f>
        <v>4.3380000000000001</v>
      </c>
      <c r="J42" s="10">
        <f>4.58*0.9</f>
        <v>4.1219999999999999</v>
      </c>
      <c r="K42" s="10">
        <f>4.53*0.9</f>
        <v>4.077</v>
      </c>
      <c r="L42" s="10">
        <f>4.37*0.9</f>
        <v>3.9330000000000003</v>
      </c>
      <c r="M42" s="10">
        <f t="shared" ref="M42:N42" si="4">4.37*0.9</f>
        <v>3.9330000000000003</v>
      </c>
      <c r="N42" s="10">
        <f t="shared" si="4"/>
        <v>3.9330000000000003</v>
      </c>
      <c r="O42" s="10">
        <v>0.38</v>
      </c>
      <c r="P42" s="10">
        <v>0.38</v>
      </c>
      <c r="Q42" s="10">
        <v>37.5</v>
      </c>
      <c r="R42" s="13" t="s">
        <v>244</v>
      </c>
      <c r="S42" s="13" t="s">
        <v>232</v>
      </c>
    </row>
    <row r="43" spans="1:19" x14ac:dyDescent="0.25">
      <c r="A43" s="1" t="s">
        <v>13</v>
      </c>
      <c r="B43" s="1" t="s">
        <v>57</v>
      </c>
      <c r="C43" s="1" t="s">
        <v>145</v>
      </c>
      <c r="D43" s="1" t="s">
        <v>198</v>
      </c>
      <c r="E43" s="1" t="s">
        <v>233</v>
      </c>
      <c r="F43" s="10">
        <v>0</v>
      </c>
      <c r="G43" s="10">
        <v>0</v>
      </c>
      <c r="H43" s="10">
        <f>2.28*0.9</f>
        <v>2.052</v>
      </c>
      <c r="I43" s="10">
        <f>2.25*0.9</f>
        <v>2.0249999999999999</v>
      </c>
      <c r="J43" s="10">
        <f>2.2*0.9</f>
        <v>1.9800000000000002</v>
      </c>
      <c r="K43" s="10">
        <f>2.2*0.9</f>
        <v>1.9800000000000002</v>
      </c>
      <c r="L43" s="10">
        <f>2.07*0.9</f>
        <v>1.863</v>
      </c>
      <c r="M43" s="10">
        <f>1.98*0.9</f>
        <v>1.782</v>
      </c>
      <c r="N43" s="10">
        <f>1.98*0.9</f>
        <v>1.782</v>
      </c>
      <c r="O43" s="10">
        <v>0.5</v>
      </c>
      <c r="P43" s="10">
        <v>0.5</v>
      </c>
      <c r="Q43" s="10">
        <v>50</v>
      </c>
      <c r="R43" s="13" t="s">
        <v>255</v>
      </c>
      <c r="S43" s="13" t="s">
        <v>227</v>
      </c>
    </row>
    <row r="44" spans="1:19" x14ac:dyDescent="0.25">
      <c r="A44" s="1" t="s">
        <v>13</v>
      </c>
      <c r="B44" s="1" t="s">
        <v>58</v>
      </c>
      <c r="C44" s="1" t="s">
        <v>146</v>
      </c>
      <c r="D44" s="1" t="s">
        <v>198</v>
      </c>
      <c r="E44" s="1" t="s">
        <v>233</v>
      </c>
      <c r="F44" s="10">
        <v>0</v>
      </c>
      <c r="G44" s="10">
        <v>0</v>
      </c>
      <c r="H44" s="10">
        <f>1.88*0.9</f>
        <v>1.6919999999999999</v>
      </c>
      <c r="I44" s="10">
        <f>1.83*0.9</f>
        <v>1.647</v>
      </c>
      <c r="J44" s="10">
        <f>1.63*0.9</f>
        <v>1.4669999999999999</v>
      </c>
      <c r="K44" s="10">
        <f>1.63*0.9</f>
        <v>1.4669999999999999</v>
      </c>
      <c r="L44" s="10">
        <f>1.4*0.9</f>
        <v>1.26</v>
      </c>
      <c r="M44" s="10">
        <f>1.18*0.9</f>
        <v>1.0620000000000001</v>
      </c>
      <c r="N44" s="10">
        <f>1.18*0.9</f>
        <v>1.0620000000000001</v>
      </c>
      <c r="O44" s="10">
        <v>0.5</v>
      </c>
      <c r="P44" s="10">
        <v>0.5</v>
      </c>
      <c r="Q44" s="10">
        <v>50</v>
      </c>
      <c r="R44" s="13" t="s">
        <v>231</v>
      </c>
      <c r="S44" s="13" t="s">
        <v>232</v>
      </c>
    </row>
    <row r="45" spans="1:19" x14ac:dyDescent="0.25">
      <c r="A45" s="1" t="s">
        <v>13</v>
      </c>
      <c r="B45" s="1" t="s">
        <v>59</v>
      </c>
      <c r="C45" s="1" t="s">
        <v>147</v>
      </c>
      <c r="D45" s="1" t="s">
        <v>198</v>
      </c>
      <c r="E45" s="1" t="s">
        <v>233</v>
      </c>
      <c r="F45" s="10">
        <v>0</v>
      </c>
      <c r="G45" s="10">
        <f>0.73*0.9</f>
        <v>0.65700000000000003</v>
      </c>
      <c r="H45" s="10">
        <f>0.72*0.9</f>
        <v>0.64800000000000002</v>
      </c>
      <c r="I45" s="10">
        <f>0.68*0.9</f>
        <v>0.6120000000000001</v>
      </c>
      <c r="J45" s="10">
        <f>0.67*0.9</f>
        <v>0.60300000000000009</v>
      </c>
      <c r="K45" s="10">
        <f>0.67*0.9</f>
        <v>0.60300000000000009</v>
      </c>
      <c r="L45" s="10">
        <f>0.65*0.9</f>
        <v>0.58500000000000008</v>
      </c>
      <c r="M45" s="10">
        <f>0.63*0.9</f>
        <v>0.56700000000000006</v>
      </c>
      <c r="N45" s="10">
        <f>0.63*0.9</f>
        <v>0.56700000000000006</v>
      </c>
      <c r="O45" s="10">
        <v>0</v>
      </c>
      <c r="P45" s="10">
        <v>0</v>
      </c>
      <c r="Q45" s="10">
        <v>50</v>
      </c>
      <c r="R45" s="13" t="s">
        <v>256</v>
      </c>
      <c r="S45" s="13" t="s">
        <v>227</v>
      </c>
    </row>
    <row r="46" spans="1:19" x14ac:dyDescent="0.25">
      <c r="A46" s="1" t="s">
        <v>14</v>
      </c>
      <c r="B46" s="1" t="s">
        <v>60</v>
      </c>
      <c r="C46" s="1" t="s">
        <v>148</v>
      </c>
      <c r="D46" s="1" t="s">
        <v>198</v>
      </c>
      <c r="E46" s="1" t="s">
        <v>257</v>
      </c>
      <c r="F46" s="10">
        <v>0</v>
      </c>
      <c r="G46" s="10">
        <f>9.85*0.9</f>
        <v>8.8650000000000002</v>
      </c>
      <c r="H46" s="10">
        <f>9.65*0.9</f>
        <v>8.6850000000000005</v>
      </c>
      <c r="I46" s="10">
        <f>9.45*0.9</f>
        <v>8.504999999999999</v>
      </c>
      <c r="J46" s="10">
        <f>9.25*0.9</f>
        <v>8.3250000000000011</v>
      </c>
      <c r="K46" s="10">
        <f>9.25*0.9</f>
        <v>8.3250000000000011</v>
      </c>
      <c r="L46" s="10">
        <f>9.05*0.9</f>
        <v>8.1450000000000014</v>
      </c>
      <c r="M46" s="10">
        <f t="shared" ref="M46:N46" si="5">9.05*0.9</f>
        <v>8.1450000000000014</v>
      </c>
      <c r="N46" s="10">
        <f t="shared" si="5"/>
        <v>8.1450000000000014</v>
      </c>
      <c r="O46" s="10">
        <v>0</v>
      </c>
      <c r="P46" s="10">
        <v>0</v>
      </c>
      <c r="Q46" s="10">
        <v>37.5</v>
      </c>
      <c r="R46" s="13" t="s">
        <v>235</v>
      </c>
      <c r="S46" s="13" t="s">
        <v>227</v>
      </c>
    </row>
    <row r="47" spans="1:19" x14ac:dyDescent="0.25">
      <c r="A47" s="1" t="s">
        <v>14</v>
      </c>
      <c r="B47" s="1" t="s">
        <v>61</v>
      </c>
      <c r="C47" s="1" t="s">
        <v>148</v>
      </c>
      <c r="D47" s="1" t="s">
        <v>198</v>
      </c>
      <c r="E47" s="1" t="s">
        <v>257</v>
      </c>
      <c r="F47" s="10">
        <f>12.92*0.9</f>
        <v>11.628</v>
      </c>
      <c r="G47" s="10">
        <f>12.6*0.9</f>
        <v>11.34</v>
      </c>
      <c r="H47" s="10">
        <f>12.42*0.9</f>
        <v>11.178000000000001</v>
      </c>
      <c r="I47" s="10">
        <f>12.22*0.9</f>
        <v>10.998000000000001</v>
      </c>
      <c r="J47" s="10">
        <f>12.1*0.9</f>
        <v>10.89</v>
      </c>
      <c r="K47" s="10">
        <f t="shared" ref="K47:N47" si="6">12.1*0.9</f>
        <v>10.89</v>
      </c>
      <c r="L47" s="10">
        <f t="shared" si="6"/>
        <v>10.89</v>
      </c>
      <c r="M47" s="10">
        <f t="shared" si="6"/>
        <v>10.89</v>
      </c>
      <c r="N47" s="10">
        <f t="shared" si="6"/>
        <v>10.89</v>
      </c>
      <c r="O47" s="10">
        <v>0</v>
      </c>
      <c r="P47" s="10">
        <v>0</v>
      </c>
      <c r="Q47" s="10">
        <v>0</v>
      </c>
      <c r="R47" s="13" t="s">
        <v>258</v>
      </c>
      <c r="S47" s="13" t="s">
        <v>227</v>
      </c>
    </row>
    <row r="48" spans="1:19" x14ac:dyDescent="0.25">
      <c r="A48" s="1" t="s">
        <v>14</v>
      </c>
      <c r="B48" s="1" t="s">
        <v>62</v>
      </c>
      <c r="C48" s="1" t="s">
        <v>149</v>
      </c>
      <c r="D48" s="1" t="s">
        <v>198</v>
      </c>
      <c r="E48" s="1" t="s">
        <v>233</v>
      </c>
      <c r="F48" s="10">
        <v>0</v>
      </c>
      <c r="G48" s="10">
        <v>0</v>
      </c>
      <c r="H48" s="10">
        <f>5.7*0.9</f>
        <v>5.13</v>
      </c>
      <c r="I48" s="10">
        <f>5.21*0.9</f>
        <v>4.6890000000000001</v>
      </c>
      <c r="J48" s="10">
        <f>5.02*0.9</f>
        <v>4.5179999999999998</v>
      </c>
      <c r="K48" s="10">
        <f>5.02*0.9</f>
        <v>4.5179999999999998</v>
      </c>
      <c r="L48" s="10">
        <f>4.88*0.9</f>
        <v>4.3920000000000003</v>
      </c>
      <c r="M48" s="10">
        <f>4.67*0.9</f>
        <v>4.2030000000000003</v>
      </c>
      <c r="N48" s="10">
        <f>4.67*0.9</f>
        <v>4.2030000000000003</v>
      </c>
      <c r="O48" s="10">
        <v>0</v>
      </c>
      <c r="P48" s="10">
        <v>0</v>
      </c>
      <c r="Q48" s="10">
        <v>60</v>
      </c>
      <c r="R48" s="13" t="s">
        <v>231</v>
      </c>
      <c r="S48" s="13" t="s">
        <v>227</v>
      </c>
    </row>
    <row r="49" spans="1:19" x14ac:dyDescent="0.25">
      <c r="A49" s="1" t="s">
        <v>14</v>
      </c>
      <c r="B49" s="1" t="s">
        <v>63</v>
      </c>
      <c r="C49" s="1" t="s">
        <v>150</v>
      </c>
      <c r="D49" s="1" t="s">
        <v>198</v>
      </c>
      <c r="E49" s="1" t="s">
        <v>259</v>
      </c>
      <c r="F49" s="10">
        <v>0</v>
      </c>
      <c r="G49" s="10">
        <v>0</v>
      </c>
      <c r="H49" s="10">
        <f>2.67*0.9</f>
        <v>2.403</v>
      </c>
      <c r="I49" s="10">
        <f>2.53*0.9</f>
        <v>2.2769999999999997</v>
      </c>
      <c r="J49" s="10">
        <f>2.42*0.9</f>
        <v>2.1779999999999999</v>
      </c>
      <c r="K49" s="10">
        <f>2.42*0.9</f>
        <v>2.1779999999999999</v>
      </c>
      <c r="L49" s="10">
        <f>2.33*0.9</f>
        <v>2.097</v>
      </c>
      <c r="M49" s="10">
        <f>2.25*0.9</f>
        <v>2.0249999999999999</v>
      </c>
      <c r="N49" s="10">
        <f>2.25*0.9</f>
        <v>2.0249999999999999</v>
      </c>
      <c r="O49" s="10">
        <v>0.3</v>
      </c>
      <c r="P49" s="10">
        <v>0.3</v>
      </c>
      <c r="Q49" s="10">
        <v>60</v>
      </c>
      <c r="R49" s="13" t="s">
        <v>249</v>
      </c>
      <c r="S49" s="13" t="s">
        <v>232</v>
      </c>
    </row>
    <row r="50" spans="1:19" x14ac:dyDescent="0.25">
      <c r="A50" s="1" t="s">
        <v>14</v>
      </c>
      <c r="B50" s="1" t="s">
        <v>64</v>
      </c>
      <c r="C50" s="1" t="s">
        <v>151</v>
      </c>
      <c r="D50" s="1" t="s">
        <v>198</v>
      </c>
      <c r="E50" s="1" t="s">
        <v>259</v>
      </c>
      <c r="F50" s="10">
        <v>0</v>
      </c>
      <c r="G50" s="10">
        <v>0</v>
      </c>
      <c r="H50" s="10">
        <f>11.5*0.9</f>
        <v>10.35</v>
      </c>
      <c r="I50" s="10">
        <f>11.5*0.9</f>
        <v>10.35</v>
      </c>
      <c r="J50" s="10">
        <f>10.58*0.9</f>
        <v>9.5220000000000002</v>
      </c>
      <c r="K50" s="10">
        <f t="shared" ref="K50:M50" si="7">10.58*0.9</f>
        <v>9.5220000000000002</v>
      </c>
      <c r="L50" s="10">
        <f t="shared" si="7"/>
        <v>9.5220000000000002</v>
      </c>
      <c r="M50" s="10">
        <f t="shared" si="7"/>
        <v>9.5220000000000002</v>
      </c>
      <c r="N50" s="10">
        <f>9.96*0.9</f>
        <v>8.9640000000000004</v>
      </c>
      <c r="O50" s="10">
        <v>0.2</v>
      </c>
      <c r="P50" s="10">
        <v>0.2</v>
      </c>
      <c r="Q50" s="10">
        <v>40</v>
      </c>
      <c r="R50" s="13" t="s">
        <v>260</v>
      </c>
      <c r="S50" s="13" t="s">
        <v>232</v>
      </c>
    </row>
    <row r="51" spans="1:19" x14ac:dyDescent="0.25">
      <c r="A51" s="1" t="s">
        <v>14</v>
      </c>
      <c r="B51" s="1" t="s">
        <v>65</v>
      </c>
      <c r="C51" s="1" t="s">
        <v>152</v>
      </c>
      <c r="D51" s="1" t="s">
        <v>198</v>
      </c>
      <c r="E51" s="1" t="s">
        <v>233</v>
      </c>
      <c r="F51" s="10">
        <v>0</v>
      </c>
      <c r="G51" s="10">
        <v>0</v>
      </c>
      <c r="H51" s="10">
        <v>0</v>
      </c>
      <c r="I51" s="10">
        <f>0.75*0.9</f>
        <v>0.67500000000000004</v>
      </c>
      <c r="J51" s="10">
        <f>0.6*0.9</f>
        <v>0.54</v>
      </c>
      <c r="K51" s="10">
        <f>0.6*0.9</f>
        <v>0.54</v>
      </c>
      <c r="L51" s="10">
        <f>0.5*0.9</f>
        <v>0.45</v>
      </c>
      <c r="M51" s="10">
        <f t="shared" ref="M51:N51" si="8">0.5*0.9</f>
        <v>0.45</v>
      </c>
      <c r="N51" s="10">
        <f t="shared" si="8"/>
        <v>0.45</v>
      </c>
      <c r="O51" s="10">
        <v>0</v>
      </c>
      <c r="P51" s="10">
        <v>0</v>
      </c>
      <c r="Q51" s="10">
        <v>35</v>
      </c>
      <c r="R51" s="13" t="s">
        <v>261</v>
      </c>
      <c r="S51" s="13" t="s">
        <v>227</v>
      </c>
    </row>
    <row r="52" spans="1:19" x14ac:dyDescent="0.25">
      <c r="A52" s="1" t="s">
        <v>14</v>
      </c>
      <c r="B52" s="1" t="s">
        <v>66</v>
      </c>
      <c r="C52" s="1" t="s">
        <v>153</v>
      </c>
      <c r="D52" s="1" t="s">
        <v>198</v>
      </c>
      <c r="E52" s="1" t="s">
        <v>233</v>
      </c>
      <c r="F52" s="10">
        <v>0</v>
      </c>
      <c r="G52" s="10">
        <v>0</v>
      </c>
      <c r="H52" s="10">
        <f>2.16*0.9</f>
        <v>1.9440000000000002</v>
      </c>
      <c r="I52" s="10">
        <f>2.05*0.9</f>
        <v>1.845</v>
      </c>
      <c r="J52" s="10">
        <f>1.95*0.9</f>
        <v>1.7549999999999999</v>
      </c>
      <c r="K52" s="10">
        <f>1.95*0.9</f>
        <v>1.7549999999999999</v>
      </c>
      <c r="L52" s="10">
        <f>1.2*0.9</f>
        <v>1.08</v>
      </c>
      <c r="M52" s="10">
        <f>1.2*0.9</f>
        <v>1.08</v>
      </c>
      <c r="N52" s="10">
        <f>1.1*0.9</f>
        <v>0.9900000000000001</v>
      </c>
      <c r="O52" s="10">
        <v>0</v>
      </c>
      <c r="P52" s="10">
        <v>0</v>
      </c>
      <c r="Q52" s="10">
        <v>35</v>
      </c>
      <c r="R52" s="13" t="s">
        <v>261</v>
      </c>
      <c r="S52" s="13" t="s">
        <v>227</v>
      </c>
    </row>
    <row r="53" spans="1:19" x14ac:dyDescent="0.25">
      <c r="A53" s="1" t="s">
        <v>14</v>
      </c>
      <c r="B53" s="1" t="s">
        <v>67</v>
      </c>
      <c r="C53" s="1" t="s">
        <v>154</v>
      </c>
      <c r="D53" s="1" t="s">
        <v>204</v>
      </c>
      <c r="E53" s="1" t="s">
        <v>233</v>
      </c>
      <c r="F53" s="10">
        <v>0</v>
      </c>
      <c r="G53" s="10">
        <v>0</v>
      </c>
      <c r="H53" s="10">
        <v>0</v>
      </c>
      <c r="I53" s="10">
        <f>1.25*0.9</f>
        <v>1.125</v>
      </c>
      <c r="J53" s="10">
        <f>1*0.9</f>
        <v>0.9</v>
      </c>
      <c r="K53" s="10">
        <f>1*0.9</f>
        <v>0.9</v>
      </c>
      <c r="L53" s="10">
        <f>0.9*0.9</f>
        <v>0.81</v>
      </c>
      <c r="M53" s="10">
        <f>0.8*0.9</f>
        <v>0.72000000000000008</v>
      </c>
      <c r="N53" s="10">
        <f>0.8*0.9</f>
        <v>0.72000000000000008</v>
      </c>
      <c r="O53" s="10">
        <v>0</v>
      </c>
      <c r="P53" s="10">
        <v>0</v>
      </c>
      <c r="Q53" s="10">
        <v>55</v>
      </c>
      <c r="R53" s="13" t="s">
        <v>249</v>
      </c>
      <c r="S53" s="13" t="s">
        <v>232</v>
      </c>
    </row>
    <row r="54" spans="1:19" x14ac:dyDescent="0.25">
      <c r="A54" s="1" t="s">
        <v>14</v>
      </c>
      <c r="B54" s="1" t="s">
        <v>68</v>
      </c>
      <c r="C54" s="1" t="s">
        <v>155</v>
      </c>
      <c r="D54" s="1" t="s">
        <v>198</v>
      </c>
      <c r="E54" s="1" t="s">
        <v>259</v>
      </c>
      <c r="F54" s="10">
        <v>0</v>
      </c>
      <c r="G54" s="10">
        <v>0</v>
      </c>
      <c r="H54" s="10">
        <f>2.25*0.9</f>
        <v>2.0249999999999999</v>
      </c>
      <c r="I54" s="10">
        <f>2.25*0.9</f>
        <v>2.0249999999999999</v>
      </c>
      <c r="J54" s="10">
        <f>2.2*0.9</f>
        <v>1.9800000000000002</v>
      </c>
      <c r="K54" s="10">
        <f>2.2*0.9</f>
        <v>1.9800000000000002</v>
      </c>
      <c r="L54" s="10">
        <f>2.15*0.9</f>
        <v>1.9350000000000001</v>
      </c>
      <c r="M54" s="10">
        <f>2.1*0.9</f>
        <v>1.8900000000000001</v>
      </c>
      <c r="N54" s="10">
        <f>2.1*0.9</f>
        <v>1.8900000000000001</v>
      </c>
      <c r="O54" s="10">
        <v>0.5</v>
      </c>
      <c r="P54" s="10">
        <v>0</v>
      </c>
      <c r="Q54" s="10">
        <v>60</v>
      </c>
      <c r="R54" s="13" t="s">
        <v>243</v>
      </c>
      <c r="S54" s="13" t="s">
        <v>232</v>
      </c>
    </row>
    <row r="55" spans="1:19" x14ac:dyDescent="0.25">
      <c r="A55" s="1" t="s">
        <v>15</v>
      </c>
      <c r="B55" s="1" t="s">
        <v>69</v>
      </c>
      <c r="C55" s="1" t="s">
        <v>156</v>
      </c>
      <c r="D55" s="1" t="s">
        <v>205</v>
      </c>
      <c r="E55" s="1" t="s">
        <v>262</v>
      </c>
      <c r="F55" s="10">
        <v>0</v>
      </c>
      <c r="G55" s="10">
        <v>0</v>
      </c>
      <c r="H55" s="10">
        <f>7.717*0.9</f>
        <v>6.9452999999999996</v>
      </c>
      <c r="I55" s="10">
        <f>7.022*0.9</f>
        <v>6.3198000000000008</v>
      </c>
      <c r="J55" s="10">
        <f>4.054*0.9</f>
        <v>3.6486000000000005</v>
      </c>
      <c r="K55" s="10">
        <f>4.054*0.9</f>
        <v>3.6486000000000005</v>
      </c>
      <c r="L55" s="10">
        <f>3.731*0.9</f>
        <v>3.3578999999999999</v>
      </c>
      <c r="M55" s="10">
        <f>3.702*0.9</f>
        <v>3.3317999999999999</v>
      </c>
      <c r="N55" s="10">
        <f>3.702*0.9</f>
        <v>3.3317999999999999</v>
      </c>
      <c r="O55" s="10">
        <v>0</v>
      </c>
      <c r="P55" s="10">
        <v>0</v>
      </c>
      <c r="Q55" s="10">
        <v>50</v>
      </c>
      <c r="R55" s="13" t="s">
        <v>263</v>
      </c>
      <c r="S55" s="13" t="s">
        <v>227</v>
      </c>
    </row>
    <row r="56" spans="1:19" x14ac:dyDescent="0.25">
      <c r="A56" s="1" t="s">
        <v>15</v>
      </c>
      <c r="B56" s="1" t="s">
        <v>70</v>
      </c>
      <c r="C56" s="1" t="s">
        <v>157</v>
      </c>
      <c r="D56" s="1" t="s">
        <v>205</v>
      </c>
      <c r="E56" s="1" t="s">
        <v>262</v>
      </c>
      <c r="F56" s="10">
        <v>0</v>
      </c>
      <c r="G56" s="10">
        <v>0</v>
      </c>
      <c r="H56" s="10">
        <f>5.33*0.9</f>
        <v>4.7970000000000006</v>
      </c>
      <c r="I56" s="10">
        <f>5.26*0.9</f>
        <v>4.734</v>
      </c>
      <c r="J56" s="10">
        <f>2.48*0.9</f>
        <v>2.2320000000000002</v>
      </c>
      <c r="K56" s="10">
        <f t="shared" ref="K56:L56" si="9">2.48*0.9</f>
        <v>2.2320000000000002</v>
      </c>
      <c r="L56" s="10">
        <f t="shared" si="9"/>
        <v>2.2320000000000002</v>
      </c>
      <c r="M56" s="10">
        <f>2.43*0.9</f>
        <v>2.1870000000000003</v>
      </c>
      <c r="N56" s="10">
        <f>2.42*0.9</f>
        <v>2.1779999999999999</v>
      </c>
      <c r="O56" s="10">
        <v>0</v>
      </c>
      <c r="P56" s="10">
        <v>0</v>
      </c>
      <c r="Q56" s="10">
        <v>50</v>
      </c>
      <c r="R56" s="13" t="s">
        <v>264</v>
      </c>
      <c r="S56" s="13" t="s">
        <v>227</v>
      </c>
    </row>
    <row r="57" spans="1:19" x14ac:dyDescent="0.25">
      <c r="A57" s="1" t="s">
        <v>15</v>
      </c>
      <c r="B57" s="1" t="s">
        <v>71</v>
      </c>
      <c r="C57" s="1" t="s">
        <v>158</v>
      </c>
      <c r="D57" s="1" t="s">
        <v>198</v>
      </c>
      <c r="E57" s="1" t="s">
        <v>233</v>
      </c>
      <c r="F57" s="10">
        <v>0</v>
      </c>
      <c r="G57" s="10">
        <v>0</v>
      </c>
      <c r="H57" s="10">
        <f>3.2*0.9</f>
        <v>2.8800000000000003</v>
      </c>
      <c r="I57" s="10">
        <f>3*0.9</f>
        <v>2.7</v>
      </c>
      <c r="J57" s="10">
        <f>2.88*0.9</f>
        <v>2.5920000000000001</v>
      </c>
      <c r="K57" s="10">
        <f>2.88*0.9</f>
        <v>2.5920000000000001</v>
      </c>
      <c r="L57" s="10">
        <f>2.77*0.9</f>
        <v>2.4929999999999999</v>
      </c>
      <c r="M57" s="10">
        <f>2.67*0.9</f>
        <v>2.403</v>
      </c>
      <c r="N57" s="10">
        <f>2.67*0.9</f>
        <v>2.403</v>
      </c>
      <c r="O57" s="10">
        <v>0.45</v>
      </c>
      <c r="P57" s="10">
        <v>0.45</v>
      </c>
      <c r="Q57" s="10">
        <v>60</v>
      </c>
      <c r="R57" s="13" t="s">
        <v>249</v>
      </c>
      <c r="S57" s="13" t="s">
        <v>232</v>
      </c>
    </row>
    <row r="58" spans="1:19" x14ac:dyDescent="0.25">
      <c r="A58" s="1" t="s">
        <v>15</v>
      </c>
      <c r="B58" s="1" t="s">
        <v>72</v>
      </c>
      <c r="C58" s="1" t="s">
        <v>159</v>
      </c>
      <c r="D58" s="1" t="s">
        <v>206</v>
      </c>
      <c r="E58" s="1" t="s">
        <v>233</v>
      </c>
      <c r="F58" s="10">
        <v>0</v>
      </c>
      <c r="G58" s="10">
        <f>4.26*0.9</f>
        <v>3.8340000000000001</v>
      </c>
      <c r="H58" s="10">
        <f>4.26*0.9</f>
        <v>3.8340000000000001</v>
      </c>
      <c r="I58" s="10">
        <f>1.51*0.9</f>
        <v>1.359</v>
      </c>
      <c r="J58" s="10">
        <f>1.14*0.9</f>
        <v>1.026</v>
      </c>
      <c r="K58" s="10">
        <f>1.14*0.9</f>
        <v>1.026</v>
      </c>
      <c r="L58" s="10">
        <f>0.88*0.9</f>
        <v>0.79200000000000004</v>
      </c>
      <c r="M58" s="10">
        <f t="shared" ref="M58:N58" si="10">0.88*0.9</f>
        <v>0.79200000000000004</v>
      </c>
      <c r="N58" s="10">
        <f t="shared" si="10"/>
        <v>0.79200000000000004</v>
      </c>
      <c r="O58" s="10">
        <v>0</v>
      </c>
      <c r="P58" s="10">
        <v>0</v>
      </c>
      <c r="Q58" s="10">
        <v>35</v>
      </c>
      <c r="R58" s="13" t="s">
        <v>251</v>
      </c>
      <c r="S58" s="13" t="s">
        <v>227</v>
      </c>
    </row>
    <row r="59" spans="1:19" x14ac:dyDescent="0.25">
      <c r="A59" s="1" t="s">
        <v>15</v>
      </c>
      <c r="B59" s="1" t="s">
        <v>73</v>
      </c>
      <c r="C59" s="1" t="s">
        <v>160</v>
      </c>
      <c r="D59" s="1" t="s">
        <v>207</v>
      </c>
      <c r="E59" s="1" t="s">
        <v>265</v>
      </c>
      <c r="F59" s="10">
        <v>0</v>
      </c>
      <c r="G59" s="10">
        <v>0</v>
      </c>
      <c r="H59" s="10">
        <f>1.8*0.9</f>
        <v>1.62</v>
      </c>
      <c r="I59" s="10">
        <f>1.75*0.9</f>
        <v>1.575</v>
      </c>
      <c r="J59" s="10">
        <f>1.7*0.9</f>
        <v>1.53</v>
      </c>
      <c r="K59" s="10">
        <f>1.7*0.9</f>
        <v>1.53</v>
      </c>
      <c r="L59" s="10">
        <f>1.65*0.9</f>
        <v>1.4849999999999999</v>
      </c>
      <c r="M59" s="10">
        <f>1.6*0.9</f>
        <v>1.4400000000000002</v>
      </c>
      <c r="N59" s="10">
        <f>1.6*0.9</f>
        <v>1.4400000000000002</v>
      </c>
      <c r="O59" s="10">
        <v>0</v>
      </c>
      <c r="P59" s="10">
        <v>0</v>
      </c>
      <c r="Q59" s="10">
        <v>50</v>
      </c>
      <c r="R59" s="13" t="s">
        <v>249</v>
      </c>
      <c r="S59" s="13" t="s">
        <v>232</v>
      </c>
    </row>
    <row r="60" spans="1:19" x14ac:dyDescent="0.25">
      <c r="A60" s="1" t="s">
        <v>15</v>
      </c>
      <c r="B60" s="1" t="s">
        <v>74</v>
      </c>
      <c r="C60" s="1" t="s">
        <v>161</v>
      </c>
      <c r="D60" s="1" t="s">
        <v>207</v>
      </c>
      <c r="E60" s="1" t="s">
        <v>265</v>
      </c>
      <c r="F60" s="10">
        <v>0</v>
      </c>
      <c r="G60" s="10">
        <f>9.87*0.9</f>
        <v>8.8829999999999991</v>
      </c>
      <c r="H60" s="10">
        <f>9.12*0.9</f>
        <v>8.2080000000000002</v>
      </c>
      <c r="I60" s="10">
        <f>4.52*0.9</f>
        <v>4.0679999999999996</v>
      </c>
      <c r="J60" s="10">
        <f>4.05*0.9</f>
        <v>3.645</v>
      </c>
      <c r="K60" s="10">
        <f>4.05*0.9</f>
        <v>3.645</v>
      </c>
      <c r="L60" s="10">
        <f>3.92*0.9</f>
        <v>3.528</v>
      </c>
      <c r="M60" s="10">
        <f>3.92*0.9</f>
        <v>3.528</v>
      </c>
      <c r="N60" s="10">
        <f>3.64*0.9</f>
        <v>3.2760000000000002</v>
      </c>
      <c r="O60" s="10">
        <v>0</v>
      </c>
      <c r="P60" s="10">
        <v>0</v>
      </c>
      <c r="Q60" s="10">
        <v>80</v>
      </c>
      <c r="R60" s="13" t="s">
        <v>240</v>
      </c>
      <c r="S60" s="13" t="s">
        <v>227</v>
      </c>
    </row>
    <row r="61" spans="1:19" x14ac:dyDescent="0.25">
      <c r="A61" s="1" t="s">
        <v>15</v>
      </c>
      <c r="B61" s="1" t="s">
        <v>75</v>
      </c>
      <c r="C61" s="1" t="s">
        <v>162</v>
      </c>
      <c r="D61" s="1" t="s">
        <v>198</v>
      </c>
      <c r="E61" s="1" t="s">
        <v>266</v>
      </c>
      <c r="F61" s="10">
        <v>0</v>
      </c>
      <c r="G61" s="10">
        <v>0</v>
      </c>
      <c r="H61" s="10">
        <f>5.4*0.9</f>
        <v>4.8600000000000003</v>
      </c>
      <c r="I61" s="10">
        <f>5.1*0.9</f>
        <v>4.59</v>
      </c>
      <c r="J61" s="10">
        <f>5*0.9</f>
        <v>4.5</v>
      </c>
      <c r="K61" s="10">
        <f>5*0.9</f>
        <v>4.5</v>
      </c>
      <c r="L61" s="10">
        <f>4.9*0.9</f>
        <v>4.41</v>
      </c>
      <c r="M61" s="10">
        <f>4*0.9</f>
        <v>3.6</v>
      </c>
      <c r="N61" s="10">
        <f>4*0.9</f>
        <v>3.6</v>
      </c>
      <c r="O61" s="10">
        <v>0.5</v>
      </c>
      <c r="P61" s="10">
        <v>0.5</v>
      </c>
      <c r="Q61" s="10">
        <v>60</v>
      </c>
      <c r="R61" s="13" t="s">
        <v>243</v>
      </c>
      <c r="S61" s="13" t="s">
        <v>232</v>
      </c>
    </row>
    <row r="62" spans="1:19" x14ac:dyDescent="0.25">
      <c r="A62" s="1" t="s">
        <v>15</v>
      </c>
      <c r="B62" s="1" t="s">
        <v>76</v>
      </c>
      <c r="C62" s="1" t="s">
        <v>163</v>
      </c>
      <c r="D62" s="1" t="s">
        <v>198</v>
      </c>
      <c r="E62" s="1" t="s">
        <v>259</v>
      </c>
      <c r="F62" s="10">
        <v>0</v>
      </c>
      <c r="G62" s="10">
        <v>0</v>
      </c>
      <c r="H62" s="10">
        <f>1.75*0.9</f>
        <v>1.575</v>
      </c>
      <c r="I62" s="10">
        <f>1.75*0.9</f>
        <v>1.575</v>
      </c>
      <c r="J62" s="10">
        <f>0.8*0.9</f>
        <v>0.72000000000000008</v>
      </c>
      <c r="K62" s="10">
        <f>0.8*0.9</f>
        <v>0.72000000000000008</v>
      </c>
      <c r="L62" s="10">
        <f>0.6*0.9</f>
        <v>0.54</v>
      </c>
      <c r="M62" s="10">
        <f>0.6*0.9</f>
        <v>0.54</v>
      </c>
      <c r="N62" s="10">
        <f>0.52*0.9</f>
        <v>0.46800000000000003</v>
      </c>
      <c r="O62" s="10">
        <v>0</v>
      </c>
      <c r="P62" s="10">
        <v>0</v>
      </c>
      <c r="Q62" s="10">
        <v>50</v>
      </c>
      <c r="R62" s="13" t="s">
        <v>267</v>
      </c>
      <c r="S62" s="13" t="s">
        <v>227</v>
      </c>
    </row>
    <row r="63" spans="1:19" x14ac:dyDescent="0.25">
      <c r="A63" s="1" t="s">
        <v>15</v>
      </c>
      <c r="B63" s="1" t="s">
        <v>77</v>
      </c>
      <c r="C63" s="1" t="s">
        <v>164</v>
      </c>
      <c r="D63" s="1" t="s">
        <v>208</v>
      </c>
      <c r="E63" s="1" t="s">
        <v>265</v>
      </c>
      <c r="F63" s="10">
        <v>0</v>
      </c>
      <c r="G63" s="10">
        <f>0.8*0.9</f>
        <v>0.72000000000000008</v>
      </c>
      <c r="H63" s="10">
        <f>0.8*0.9</f>
        <v>0.72000000000000008</v>
      </c>
      <c r="I63" s="10">
        <f>0.75*0.9</f>
        <v>0.67500000000000004</v>
      </c>
      <c r="J63" s="10">
        <f>0.7*0.9</f>
        <v>0.63</v>
      </c>
      <c r="K63" s="10">
        <f>0.7*0.9</f>
        <v>0.63</v>
      </c>
      <c r="L63" s="10">
        <f>0.65*0.9</f>
        <v>0.58500000000000008</v>
      </c>
      <c r="M63" s="10">
        <f>0.58*0.9</f>
        <v>0.52200000000000002</v>
      </c>
      <c r="N63" s="10">
        <f>0.53*0.9</f>
        <v>0.47700000000000004</v>
      </c>
      <c r="O63" s="10">
        <v>0</v>
      </c>
      <c r="P63" s="10">
        <v>0</v>
      </c>
      <c r="Q63" s="10">
        <v>31.25</v>
      </c>
      <c r="R63" s="13" t="s">
        <v>250</v>
      </c>
      <c r="S63" s="13" t="s">
        <v>227</v>
      </c>
    </row>
    <row r="64" spans="1:19" x14ac:dyDescent="0.25">
      <c r="A64" s="1" t="s">
        <v>15</v>
      </c>
      <c r="B64" s="1" t="s">
        <v>78</v>
      </c>
      <c r="C64" s="1" t="s">
        <v>165</v>
      </c>
      <c r="D64" s="1" t="s">
        <v>198</v>
      </c>
      <c r="E64" s="1" t="s">
        <v>230</v>
      </c>
      <c r="F64" s="10">
        <v>0</v>
      </c>
      <c r="G64" s="10">
        <f>3.1*0.9</f>
        <v>2.79</v>
      </c>
      <c r="H64" s="10">
        <f>2.2*0.9</f>
        <v>1.9800000000000002</v>
      </c>
      <c r="I64" s="10">
        <f>2.2*0.9</f>
        <v>1.9800000000000002</v>
      </c>
      <c r="J64" s="10">
        <f>2*0.9</f>
        <v>1.8</v>
      </c>
      <c r="K64" s="10">
        <f>2*0.9</f>
        <v>1.8</v>
      </c>
      <c r="L64" s="10">
        <f>1.7*0.9</f>
        <v>1.53</v>
      </c>
      <c r="M64" s="10">
        <f>1.7*0.9</f>
        <v>1.53</v>
      </c>
      <c r="N64" s="10">
        <f>1.4*0.9</f>
        <v>1.26</v>
      </c>
      <c r="O64" s="10">
        <v>0</v>
      </c>
      <c r="P64" s="10">
        <v>0</v>
      </c>
      <c r="Q64" s="10">
        <v>50</v>
      </c>
      <c r="R64" s="13" t="s">
        <v>249</v>
      </c>
      <c r="S64" s="13" t="s">
        <v>227</v>
      </c>
    </row>
    <row r="65" spans="1:19" x14ac:dyDescent="0.25">
      <c r="A65" s="1" t="s">
        <v>15</v>
      </c>
      <c r="B65" s="1" t="s">
        <v>79</v>
      </c>
      <c r="C65" s="1" t="s">
        <v>166</v>
      </c>
      <c r="D65" s="1" t="s">
        <v>209</v>
      </c>
      <c r="E65" s="1" t="s">
        <v>268</v>
      </c>
      <c r="F65" s="10">
        <v>9.73</v>
      </c>
      <c r="G65" s="10">
        <v>9.73</v>
      </c>
      <c r="H65" s="10">
        <v>9.36</v>
      </c>
      <c r="I65" s="10">
        <v>9.36</v>
      </c>
      <c r="J65" s="10">
        <v>9.1300000000000008</v>
      </c>
      <c r="K65" s="10">
        <v>8.9</v>
      </c>
      <c r="L65" s="10">
        <v>8.9</v>
      </c>
      <c r="M65" s="10">
        <v>8.9</v>
      </c>
      <c r="N65" s="10">
        <v>8.9</v>
      </c>
      <c r="O65" s="10">
        <v>0</v>
      </c>
      <c r="P65" s="10">
        <v>0</v>
      </c>
      <c r="Q65" s="10">
        <v>56.25</v>
      </c>
      <c r="R65" s="13" t="s">
        <v>249</v>
      </c>
      <c r="S65" s="13" t="s">
        <v>232</v>
      </c>
    </row>
    <row r="66" spans="1:19" x14ac:dyDescent="0.25">
      <c r="A66" s="1" t="s">
        <v>15</v>
      </c>
      <c r="B66" s="1" t="s">
        <v>80</v>
      </c>
      <c r="C66" s="1" t="s">
        <v>167</v>
      </c>
      <c r="D66" s="1" t="s">
        <v>198</v>
      </c>
      <c r="E66" s="1" t="s">
        <v>262</v>
      </c>
      <c r="F66" s="10">
        <v>5.81</v>
      </c>
      <c r="G66" s="10">
        <v>5.6</v>
      </c>
      <c r="H66" s="10">
        <v>5.29</v>
      </c>
      <c r="I66" s="10">
        <v>4.67</v>
      </c>
      <c r="J66" s="10">
        <v>4.67</v>
      </c>
      <c r="K66" s="10">
        <v>4.34</v>
      </c>
      <c r="L66" s="10">
        <v>4.34</v>
      </c>
      <c r="M66" s="10">
        <v>4.34</v>
      </c>
      <c r="N66" s="10">
        <v>4.34</v>
      </c>
      <c r="O66" s="10">
        <v>0</v>
      </c>
      <c r="P66" s="10">
        <v>0</v>
      </c>
      <c r="Q66" s="10">
        <v>62.5</v>
      </c>
      <c r="R66" s="13" t="s">
        <v>249</v>
      </c>
      <c r="S66" s="13" t="s">
        <v>232</v>
      </c>
    </row>
    <row r="67" spans="1:19" x14ac:dyDescent="0.25">
      <c r="A67" s="1" t="s">
        <v>16</v>
      </c>
      <c r="B67" s="1" t="s">
        <v>81</v>
      </c>
      <c r="C67" s="1" t="s">
        <v>168</v>
      </c>
      <c r="D67" s="1" t="s">
        <v>210</v>
      </c>
      <c r="E67" s="1" t="s">
        <v>265</v>
      </c>
      <c r="F67" s="11">
        <f>105.62*0.9</f>
        <v>95.058000000000007</v>
      </c>
      <c r="G67" s="10">
        <v>52.34</v>
      </c>
      <c r="H67" s="10">
        <v>52.34</v>
      </c>
      <c r="I67" s="10">
        <v>52.34</v>
      </c>
      <c r="J67" s="10">
        <v>52.34</v>
      </c>
      <c r="K67" s="10">
        <v>52.34</v>
      </c>
      <c r="L67" s="10">
        <v>52.34</v>
      </c>
      <c r="M67" s="10">
        <v>52.34</v>
      </c>
      <c r="N67" s="10">
        <v>52.34</v>
      </c>
      <c r="O67" s="10">
        <v>52.34</v>
      </c>
      <c r="P67" s="10">
        <v>0</v>
      </c>
      <c r="Q67" s="10">
        <v>20</v>
      </c>
      <c r="R67" s="13" t="s">
        <v>258</v>
      </c>
      <c r="S67" s="13" t="s">
        <v>227</v>
      </c>
    </row>
    <row r="68" spans="1:19" x14ac:dyDescent="0.25">
      <c r="A68" s="1" t="s">
        <v>16</v>
      </c>
      <c r="B68" s="1" t="s">
        <v>82</v>
      </c>
      <c r="C68" s="1" t="s">
        <v>169</v>
      </c>
      <c r="D68" s="1" t="s">
        <v>211</v>
      </c>
      <c r="E68" s="1" t="s">
        <v>287</v>
      </c>
      <c r="F68" s="10">
        <v>67.5</v>
      </c>
      <c r="G68" s="10">
        <v>44.85</v>
      </c>
      <c r="H68" s="10">
        <v>44.85</v>
      </c>
      <c r="I68" s="10">
        <v>44.85</v>
      </c>
      <c r="J68" s="10">
        <v>44.85</v>
      </c>
      <c r="K68" s="10">
        <v>44.85</v>
      </c>
      <c r="L68" s="10">
        <v>44.85</v>
      </c>
      <c r="M68" s="10">
        <v>44.85</v>
      </c>
      <c r="N68" s="10">
        <v>44.85</v>
      </c>
      <c r="O68" s="10">
        <v>0</v>
      </c>
      <c r="P68" s="10">
        <v>0</v>
      </c>
      <c r="Q68" s="10">
        <v>25</v>
      </c>
      <c r="R68" s="13" t="s">
        <v>274</v>
      </c>
      <c r="S68" s="13" t="s">
        <v>232</v>
      </c>
    </row>
    <row r="69" spans="1:19" x14ac:dyDescent="0.25">
      <c r="A69" s="1" t="s">
        <v>16</v>
      </c>
      <c r="B69" s="1" t="s">
        <v>83</v>
      </c>
      <c r="C69" s="1" t="s">
        <v>170</v>
      </c>
      <c r="D69" s="1" t="s">
        <v>211</v>
      </c>
      <c r="E69" s="1" t="s">
        <v>262</v>
      </c>
      <c r="F69" s="10">
        <v>112.35</v>
      </c>
      <c r="G69" s="10">
        <v>95.85</v>
      </c>
      <c r="H69" s="10">
        <v>95.85</v>
      </c>
      <c r="I69" s="10">
        <v>95.85</v>
      </c>
      <c r="J69" s="10">
        <v>95.85</v>
      </c>
      <c r="K69" s="10">
        <v>95.85</v>
      </c>
      <c r="L69" s="10">
        <v>95.85</v>
      </c>
      <c r="M69" s="10">
        <v>95.85</v>
      </c>
      <c r="N69" s="10">
        <v>95.85</v>
      </c>
      <c r="O69" s="10">
        <v>0</v>
      </c>
      <c r="P69" s="10">
        <v>0</v>
      </c>
      <c r="Q69" s="10">
        <v>0</v>
      </c>
      <c r="R69" s="13" t="s">
        <v>300</v>
      </c>
      <c r="S69" s="13" t="s">
        <v>227</v>
      </c>
    </row>
    <row r="70" spans="1:19" x14ac:dyDescent="0.25">
      <c r="A70" s="1" t="s">
        <v>16</v>
      </c>
      <c r="B70" s="1" t="s">
        <v>84</v>
      </c>
      <c r="C70" s="1" t="s">
        <v>171</v>
      </c>
      <c r="D70" s="1" t="s">
        <v>211</v>
      </c>
      <c r="E70" s="1" t="s">
        <v>286</v>
      </c>
      <c r="F70" s="10">
        <v>283.5</v>
      </c>
      <c r="G70" s="10">
        <v>283.5</v>
      </c>
      <c r="H70" s="10">
        <v>275.04000000000002</v>
      </c>
      <c r="I70" s="10">
        <v>275.04000000000002</v>
      </c>
      <c r="J70" s="10">
        <v>275.04000000000002</v>
      </c>
      <c r="K70" s="10">
        <v>275.04000000000002</v>
      </c>
      <c r="L70" s="10">
        <v>275.04000000000002</v>
      </c>
      <c r="M70" s="10">
        <v>275.04000000000002</v>
      </c>
      <c r="N70" s="10">
        <v>275.04000000000002</v>
      </c>
      <c r="O70" s="10">
        <v>0</v>
      </c>
      <c r="P70" s="10">
        <v>0</v>
      </c>
      <c r="Q70" s="10">
        <v>0</v>
      </c>
      <c r="R70" s="13" t="s">
        <v>274</v>
      </c>
      <c r="S70" s="13" t="s">
        <v>232</v>
      </c>
    </row>
    <row r="71" spans="1:19" x14ac:dyDescent="0.25">
      <c r="A71" s="1" t="s">
        <v>16</v>
      </c>
      <c r="B71" s="1" t="s">
        <v>85</v>
      </c>
      <c r="C71" s="1" t="s">
        <v>152</v>
      </c>
      <c r="D71" s="1" t="s">
        <v>198</v>
      </c>
      <c r="E71" s="1" t="s">
        <v>288</v>
      </c>
      <c r="F71" s="10">
        <v>0</v>
      </c>
      <c r="G71" s="10">
        <v>0</v>
      </c>
      <c r="H71" s="10">
        <v>1.71</v>
      </c>
      <c r="I71" s="10">
        <v>1.55</v>
      </c>
      <c r="J71" s="10">
        <v>1.17</v>
      </c>
      <c r="K71" s="10">
        <v>1.17</v>
      </c>
      <c r="L71" s="10">
        <v>1.08</v>
      </c>
      <c r="M71" s="10">
        <v>1.08</v>
      </c>
      <c r="N71" s="10">
        <v>1.01</v>
      </c>
      <c r="O71" s="10">
        <v>0</v>
      </c>
      <c r="P71" s="10">
        <v>0</v>
      </c>
      <c r="Q71" s="10">
        <v>65</v>
      </c>
      <c r="R71" s="13" t="s">
        <v>296</v>
      </c>
      <c r="S71" s="13" t="s">
        <v>232</v>
      </c>
    </row>
    <row r="72" spans="1:19" x14ac:dyDescent="0.25">
      <c r="A72" s="1" t="s">
        <v>16</v>
      </c>
      <c r="B72" s="1" t="s">
        <v>86</v>
      </c>
      <c r="C72" s="1" t="s">
        <v>172</v>
      </c>
      <c r="D72" s="1" t="s">
        <v>198</v>
      </c>
      <c r="E72" s="1" t="s">
        <v>289</v>
      </c>
      <c r="F72" s="10">
        <v>0</v>
      </c>
      <c r="G72" s="10">
        <v>0</v>
      </c>
      <c r="H72" s="10">
        <v>1.1599999999999999</v>
      </c>
      <c r="I72" s="10">
        <v>1.1100000000000001</v>
      </c>
      <c r="J72" s="10">
        <v>1.05</v>
      </c>
      <c r="K72" s="10">
        <v>1.05</v>
      </c>
      <c r="L72" s="10">
        <v>1.01</v>
      </c>
      <c r="M72" s="10">
        <v>1.01</v>
      </c>
      <c r="N72" s="10">
        <v>0.9</v>
      </c>
      <c r="O72" s="10">
        <v>0.3</v>
      </c>
      <c r="P72" s="10">
        <v>0.3</v>
      </c>
      <c r="Q72" s="10">
        <v>59</v>
      </c>
      <c r="R72" s="13" t="s">
        <v>231</v>
      </c>
      <c r="S72" s="13" t="s">
        <v>232</v>
      </c>
    </row>
    <row r="73" spans="1:19" x14ac:dyDescent="0.25">
      <c r="A73" s="1" t="s">
        <v>16</v>
      </c>
      <c r="B73" s="1" t="s">
        <v>87</v>
      </c>
      <c r="C73" s="1" t="s">
        <v>173</v>
      </c>
      <c r="D73" s="1" t="s">
        <v>211</v>
      </c>
      <c r="E73" s="1" t="s">
        <v>262</v>
      </c>
      <c r="F73" s="10">
        <v>0</v>
      </c>
      <c r="G73" s="10">
        <v>0</v>
      </c>
      <c r="H73" s="10">
        <v>2.74</v>
      </c>
      <c r="I73" s="10">
        <v>2.5499999999999998</v>
      </c>
      <c r="J73" s="10">
        <v>2.0699999999999998</v>
      </c>
      <c r="K73" s="10">
        <v>2.0699999999999998</v>
      </c>
      <c r="L73" s="10">
        <v>1.33</v>
      </c>
      <c r="M73" s="10">
        <v>1.33</v>
      </c>
      <c r="N73" s="10">
        <v>1.33</v>
      </c>
      <c r="O73" s="10">
        <v>0</v>
      </c>
      <c r="P73" s="10">
        <v>0</v>
      </c>
      <c r="Q73" s="10">
        <v>30</v>
      </c>
      <c r="R73" s="13" t="s">
        <v>297</v>
      </c>
      <c r="S73" s="13" t="s">
        <v>232</v>
      </c>
    </row>
    <row r="74" spans="1:19" x14ac:dyDescent="0.25">
      <c r="A74" s="1" t="s">
        <v>16</v>
      </c>
      <c r="B74" s="1" t="s">
        <v>88</v>
      </c>
      <c r="C74" s="1" t="s">
        <v>174</v>
      </c>
      <c r="D74" s="1" t="s">
        <v>198</v>
      </c>
      <c r="E74" s="1" t="s">
        <v>290</v>
      </c>
      <c r="F74" s="10">
        <v>0</v>
      </c>
      <c r="G74" s="10">
        <v>0</v>
      </c>
      <c r="H74" s="10">
        <v>1.67</v>
      </c>
      <c r="I74" s="10">
        <v>1.67</v>
      </c>
      <c r="J74" s="10">
        <v>1.22</v>
      </c>
      <c r="K74" s="10">
        <v>1.22</v>
      </c>
      <c r="L74" s="10">
        <v>0.98</v>
      </c>
      <c r="M74" s="10">
        <v>0.98</v>
      </c>
      <c r="N74" s="10">
        <v>0.98</v>
      </c>
      <c r="O74" s="10">
        <v>0</v>
      </c>
      <c r="P74" s="10">
        <v>0</v>
      </c>
      <c r="Q74" s="10">
        <v>35</v>
      </c>
      <c r="R74" s="13" t="s">
        <v>261</v>
      </c>
      <c r="S74" s="13" t="s">
        <v>227</v>
      </c>
    </row>
    <row r="75" spans="1:19" x14ac:dyDescent="0.25">
      <c r="A75" s="1" t="s">
        <v>16</v>
      </c>
      <c r="B75" s="1" t="s">
        <v>89</v>
      </c>
      <c r="C75" s="1" t="s">
        <v>175</v>
      </c>
      <c r="D75" s="1" t="s">
        <v>211</v>
      </c>
      <c r="E75" s="1" t="s">
        <v>291</v>
      </c>
      <c r="F75" s="10">
        <v>0</v>
      </c>
      <c r="G75" s="10">
        <v>0</v>
      </c>
      <c r="H75" s="10">
        <v>1.36</v>
      </c>
      <c r="I75" s="10">
        <v>0.8</v>
      </c>
      <c r="J75" s="10">
        <v>0.51</v>
      </c>
      <c r="K75" s="10">
        <v>0.51</v>
      </c>
      <c r="L75" s="10">
        <v>0.44</v>
      </c>
      <c r="M75" s="10">
        <v>0.38</v>
      </c>
      <c r="N75" s="10">
        <v>0.38</v>
      </c>
      <c r="O75" s="10">
        <v>0</v>
      </c>
      <c r="P75" s="10">
        <v>0</v>
      </c>
      <c r="Q75" s="10">
        <v>0</v>
      </c>
      <c r="R75" s="13" t="s">
        <v>298</v>
      </c>
      <c r="S75" s="13" t="s">
        <v>232</v>
      </c>
    </row>
    <row r="76" spans="1:19" x14ac:dyDescent="0.25">
      <c r="A76" s="1" t="s">
        <v>16</v>
      </c>
      <c r="B76" s="1" t="s">
        <v>90</v>
      </c>
      <c r="C76" s="1" t="s">
        <v>176</v>
      </c>
      <c r="D76" s="1" t="s">
        <v>211</v>
      </c>
      <c r="E76" s="1" t="s">
        <v>292</v>
      </c>
      <c r="F76" s="10">
        <v>0</v>
      </c>
      <c r="G76" s="10">
        <v>0</v>
      </c>
      <c r="H76" s="10">
        <v>0</v>
      </c>
      <c r="I76" s="10">
        <v>0.94</v>
      </c>
      <c r="J76" s="10">
        <v>0.68</v>
      </c>
      <c r="K76" s="12">
        <v>0.68</v>
      </c>
      <c r="L76" s="10">
        <v>0.42</v>
      </c>
      <c r="M76" s="10">
        <v>0.42</v>
      </c>
      <c r="N76" s="10">
        <v>0.32</v>
      </c>
      <c r="O76" s="10">
        <v>0</v>
      </c>
      <c r="P76" s="10">
        <v>0</v>
      </c>
      <c r="Q76" s="10">
        <v>0</v>
      </c>
      <c r="R76" s="13" t="s">
        <v>249</v>
      </c>
      <c r="S76" s="13" t="s">
        <v>227</v>
      </c>
    </row>
    <row r="77" spans="1:19" x14ac:dyDescent="0.25">
      <c r="A77" s="1" t="s">
        <v>16</v>
      </c>
      <c r="B77" s="1" t="s">
        <v>91</v>
      </c>
      <c r="C77" s="1" t="s">
        <v>177</v>
      </c>
      <c r="D77" s="1" t="s">
        <v>212</v>
      </c>
      <c r="E77" s="1" t="s">
        <v>293</v>
      </c>
      <c r="F77" s="10">
        <v>0</v>
      </c>
      <c r="G77" s="10">
        <v>1.08</v>
      </c>
      <c r="H77" s="10">
        <v>1.08</v>
      </c>
      <c r="I77" s="10">
        <v>1.08</v>
      </c>
      <c r="J77" s="10">
        <v>1.08</v>
      </c>
      <c r="K77" s="10">
        <v>1.08</v>
      </c>
      <c r="L77" s="10">
        <v>0.99</v>
      </c>
      <c r="M77" s="10">
        <v>0.95</v>
      </c>
      <c r="N77" s="10">
        <v>0.95</v>
      </c>
      <c r="O77" s="10">
        <v>0</v>
      </c>
      <c r="P77" s="10">
        <v>0</v>
      </c>
      <c r="Q77" s="10">
        <v>50</v>
      </c>
      <c r="R77" s="13" t="s">
        <v>299</v>
      </c>
      <c r="S77" s="13" t="s">
        <v>232</v>
      </c>
    </row>
    <row r="78" spans="1:19" x14ac:dyDescent="0.25">
      <c r="A78" s="1" t="s">
        <v>16</v>
      </c>
      <c r="B78" s="1" t="s">
        <v>92</v>
      </c>
      <c r="C78" s="1" t="s">
        <v>178</v>
      </c>
      <c r="D78" s="1" t="s">
        <v>211</v>
      </c>
      <c r="E78" s="1" t="s">
        <v>262</v>
      </c>
      <c r="F78" s="10">
        <v>0</v>
      </c>
      <c r="G78" s="10">
        <v>0</v>
      </c>
      <c r="H78" s="10">
        <v>0</v>
      </c>
      <c r="I78" s="10">
        <v>0</v>
      </c>
      <c r="J78" s="10">
        <f>0.67*0.9</f>
        <v>0.60300000000000009</v>
      </c>
      <c r="K78" s="10">
        <f>0.67*0.9</f>
        <v>0.60300000000000009</v>
      </c>
      <c r="L78" s="10">
        <f>0.57*0.9</f>
        <v>0.51300000000000001</v>
      </c>
      <c r="M78" s="10">
        <f>0.51*0.9</f>
        <v>0.45900000000000002</v>
      </c>
      <c r="N78" s="10">
        <f>0.5*0.9</f>
        <v>0.45</v>
      </c>
      <c r="O78" s="10">
        <v>0</v>
      </c>
      <c r="P78" s="10">
        <v>0</v>
      </c>
      <c r="Q78" s="10">
        <v>57</v>
      </c>
      <c r="R78" s="13" t="s">
        <v>294</v>
      </c>
      <c r="S78" s="13" t="s">
        <v>232</v>
      </c>
    </row>
    <row r="79" spans="1:19" x14ac:dyDescent="0.25">
      <c r="A79" s="1" t="s">
        <v>17</v>
      </c>
      <c r="B79" s="1" t="s">
        <v>93</v>
      </c>
      <c r="C79" s="1" t="s">
        <v>179</v>
      </c>
      <c r="D79" s="1" t="s">
        <v>198</v>
      </c>
      <c r="E79" s="1" t="s">
        <v>259</v>
      </c>
      <c r="F79" s="10">
        <v>0</v>
      </c>
      <c r="G79" s="10">
        <v>0</v>
      </c>
      <c r="H79" s="10">
        <f>1.63*0.9</f>
        <v>1.4669999999999999</v>
      </c>
      <c r="I79" s="10">
        <f>1.53*0.9</f>
        <v>1.377</v>
      </c>
      <c r="J79" s="10">
        <f>1.4*0.9</f>
        <v>1.26</v>
      </c>
      <c r="K79" s="10">
        <f>1.4*0.9</f>
        <v>1.26</v>
      </c>
      <c r="L79" s="10">
        <f>1.31*0.9</f>
        <v>1.179</v>
      </c>
      <c r="M79" s="10">
        <f>1.22*0.9</f>
        <v>1.0980000000000001</v>
      </c>
      <c r="N79" s="10">
        <f>1.22*0.9</f>
        <v>1.0980000000000001</v>
      </c>
      <c r="O79" s="10">
        <v>0.3</v>
      </c>
      <c r="P79" s="10">
        <v>0.3</v>
      </c>
      <c r="Q79" s="10">
        <v>59</v>
      </c>
      <c r="R79" s="13" t="s">
        <v>231</v>
      </c>
      <c r="S79" s="13" t="s">
        <v>232</v>
      </c>
    </row>
    <row r="80" spans="1:19" x14ac:dyDescent="0.25">
      <c r="A80" s="1" t="s">
        <v>17</v>
      </c>
      <c r="B80" s="1" t="s">
        <v>94</v>
      </c>
      <c r="C80" s="1" t="s">
        <v>152</v>
      </c>
      <c r="D80" s="1" t="s">
        <v>198</v>
      </c>
      <c r="E80" s="1" t="s">
        <v>273</v>
      </c>
      <c r="F80" s="10">
        <v>0</v>
      </c>
      <c r="G80" s="10">
        <v>0</v>
      </c>
      <c r="H80" s="10">
        <v>0</v>
      </c>
      <c r="I80" s="10">
        <f>1.55*0.9</f>
        <v>1.395</v>
      </c>
      <c r="J80" s="10">
        <f>1.45*0.9</f>
        <v>1.3049999999999999</v>
      </c>
      <c r="K80" s="10">
        <f>1.45*0.9</f>
        <v>1.3049999999999999</v>
      </c>
      <c r="L80" s="10">
        <f>1.37*0.9</f>
        <v>1.2330000000000001</v>
      </c>
      <c r="M80" s="10">
        <f>1.32*0.9</f>
        <v>1.1880000000000002</v>
      </c>
      <c r="N80" s="10">
        <f>1.29*0.9</f>
        <v>1.161</v>
      </c>
      <c r="O80" s="10">
        <v>0.35</v>
      </c>
      <c r="P80" s="10">
        <v>0.35</v>
      </c>
      <c r="Q80" s="10">
        <v>55</v>
      </c>
      <c r="R80" s="13" t="s">
        <v>228</v>
      </c>
      <c r="S80" s="13" t="s">
        <v>232</v>
      </c>
    </row>
    <row r="81" spans="1:19" x14ac:dyDescent="0.25">
      <c r="A81" s="1" t="s">
        <v>17</v>
      </c>
      <c r="B81" s="1" t="s">
        <v>95</v>
      </c>
      <c r="C81" s="1" t="s">
        <v>180</v>
      </c>
      <c r="D81" s="1" t="s">
        <v>213</v>
      </c>
      <c r="E81" s="1" t="s">
        <v>259</v>
      </c>
      <c r="F81" s="10">
        <v>0</v>
      </c>
      <c r="G81" s="10">
        <v>0</v>
      </c>
      <c r="H81" s="10">
        <f>2.07*0.9</f>
        <v>1.863</v>
      </c>
      <c r="I81" s="10">
        <f>1.96*0.9</f>
        <v>1.764</v>
      </c>
      <c r="J81" s="10">
        <f>1.86*0.9</f>
        <v>1.6740000000000002</v>
      </c>
      <c r="K81" s="10">
        <f>1.86*0.9</f>
        <v>1.6740000000000002</v>
      </c>
      <c r="L81" s="10">
        <f>1.78*0.9</f>
        <v>1.6020000000000001</v>
      </c>
      <c r="M81" s="10">
        <f>1.65*0.9</f>
        <v>1.4849999999999999</v>
      </c>
      <c r="N81" s="10"/>
      <c r="O81" s="10">
        <v>0.25</v>
      </c>
      <c r="P81" s="10">
        <v>0.25</v>
      </c>
      <c r="Q81" s="10">
        <v>60</v>
      </c>
      <c r="R81" s="13" t="s">
        <v>295</v>
      </c>
      <c r="S81" s="13" t="s">
        <v>232</v>
      </c>
    </row>
    <row r="82" spans="1:19" x14ac:dyDescent="0.25">
      <c r="A82" s="1" t="s">
        <v>17</v>
      </c>
      <c r="B82" s="1" t="s">
        <v>96</v>
      </c>
      <c r="C82" s="1" t="s">
        <v>181</v>
      </c>
      <c r="D82" s="1" t="s">
        <v>214</v>
      </c>
      <c r="E82" s="1" t="s">
        <v>273</v>
      </c>
      <c r="F82" s="10">
        <v>0</v>
      </c>
      <c r="G82" s="10">
        <v>0</v>
      </c>
      <c r="H82" s="10">
        <v>0</v>
      </c>
      <c r="I82" s="10">
        <v>1.57</v>
      </c>
      <c r="J82" s="10">
        <v>1.52</v>
      </c>
      <c r="K82" s="10">
        <v>1.52</v>
      </c>
      <c r="L82" s="10">
        <v>1.48</v>
      </c>
      <c r="M82" s="10">
        <v>1.43</v>
      </c>
      <c r="N82" s="10">
        <v>1.43</v>
      </c>
      <c r="O82" s="10">
        <v>0.45</v>
      </c>
      <c r="P82" s="10">
        <v>0</v>
      </c>
      <c r="Q82" s="10">
        <v>60</v>
      </c>
      <c r="R82" s="13" t="s">
        <v>274</v>
      </c>
      <c r="S82" s="13" t="s">
        <v>232</v>
      </c>
    </row>
    <row r="83" spans="1:19" x14ac:dyDescent="0.25">
      <c r="A83" s="1" t="s">
        <v>17</v>
      </c>
      <c r="B83" s="1" t="s">
        <v>97</v>
      </c>
      <c r="C83" s="1" t="s">
        <v>182</v>
      </c>
      <c r="D83" s="1" t="s">
        <v>214</v>
      </c>
      <c r="E83" s="1" t="s">
        <v>275</v>
      </c>
      <c r="F83" s="10">
        <v>0</v>
      </c>
      <c r="G83" s="10">
        <v>0</v>
      </c>
      <c r="H83" s="10">
        <v>0.63</v>
      </c>
      <c r="I83" s="10">
        <v>0.53</v>
      </c>
      <c r="J83" s="10">
        <v>0.53</v>
      </c>
      <c r="K83" s="10">
        <v>0.53</v>
      </c>
      <c r="L83" s="10">
        <v>0.53</v>
      </c>
      <c r="M83" s="10">
        <v>0.53</v>
      </c>
      <c r="N83" s="10">
        <v>0.53</v>
      </c>
      <c r="O83" s="10">
        <v>0</v>
      </c>
      <c r="P83" s="10">
        <v>0</v>
      </c>
      <c r="Q83" s="10">
        <v>45</v>
      </c>
      <c r="R83" s="13" t="s">
        <v>274</v>
      </c>
      <c r="S83" s="13" t="s">
        <v>227</v>
      </c>
    </row>
    <row r="84" spans="1:19" x14ac:dyDescent="0.25">
      <c r="A84" s="1" t="s">
        <v>17</v>
      </c>
      <c r="B84" s="1" t="s">
        <v>98</v>
      </c>
      <c r="C84" s="1" t="s">
        <v>183</v>
      </c>
      <c r="D84" s="1" t="s">
        <v>214</v>
      </c>
      <c r="E84" s="1" t="s">
        <v>277</v>
      </c>
      <c r="F84" s="10">
        <v>0</v>
      </c>
      <c r="G84" s="10">
        <v>0</v>
      </c>
      <c r="H84" s="10">
        <v>0</v>
      </c>
      <c r="I84" s="10">
        <v>1.22</v>
      </c>
      <c r="J84" s="10">
        <v>1.17</v>
      </c>
      <c r="K84" s="10">
        <v>1.17</v>
      </c>
      <c r="L84" s="10">
        <v>1.1299999999999999</v>
      </c>
      <c r="M84" s="10">
        <v>1.1299999999999999</v>
      </c>
      <c r="N84" s="10">
        <v>1.1299999999999999</v>
      </c>
      <c r="O84" s="10">
        <v>0</v>
      </c>
      <c r="P84" s="10">
        <v>0</v>
      </c>
      <c r="Q84" s="10">
        <v>60</v>
      </c>
      <c r="R84" s="13" t="s">
        <v>276</v>
      </c>
      <c r="S84" s="13" t="s">
        <v>232</v>
      </c>
    </row>
    <row r="85" spans="1:19" x14ac:dyDescent="0.25">
      <c r="A85" s="1" t="s">
        <v>17</v>
      </c>
      <c r="B85" s="1" t="s">
        <v>99</v>
      </c>
      <c r="C85" s="1" t="s">
        <v>184</v>
      </c>
      <c r="D85" s="1" t="s">
        <v>214</v>
      </c>
      <c r="E85" s="1" t="s">
        <v>285</v>
      </c>
      <c r="F85" s="10">
        <v>0</v>
      </c>
      <c r="G85" s="10">
        <v>1.94</v>
      </c>
      <c r="H85" s="10">
        <v>1.77</v>
      </c>
      <c r="I85" s="10">
        <v>1.77</v>
      </c>
      <c r="J85" s="10">
        <v>1.73</v>
      </c>
      <c r="K85" s="10">
        <v>1.73</v>
      </c>
      <c r="L85" s="10">
        <v>1.7</v>
      </c>
      <c r="M85" s="10">
        <v>1.7</v>
      </c>
      <c r="N85" s="10">
        <v>1.7</v>
      </c>
      <c r="O85" s="10">
        <v>0</v>
      </c>
      <c r="P85" s="10">
        <v>0</v>
      </c>
      <c r="Q85" s="10">
        <v>0</v>
      </c>
      <c r="R85" s="13" t="s">
        <v>274</v>
      </c>
      <c r="S85" s="13" t="s">
        <v>232</v>
      </c>
    </row>
    <row r="86" spans="1:19" x14ac:dyDescent="0.25">
      <c r="A86" s="1" t="s">
        <v>17</v>
      </c>
      <c r="B86" s="1" t="s">
        <v>100</v>
      </c>
      <c r="C86" s="1" t="s">
        <v>185</v>
      </c>
      <c r="D86" s="1" t="s">
        <v>211</v>
      </c>
      <c r="E86" s="1" t="s">
        <v>277</v>
      </c>
      <c r="F86" s="10">
        <v>0</v>
      </c>
      <c r="G86" s="10">
        <v>0</v>
      </c>
      <c r="H86" s="10">
        <v>0.99</v>
      </c>
      <c r="I86" s="10">
        <v>0.99</v>
      </c>
      <c r="J86" s="10">
        <v>0.98</v>
      </c>
      <c r="K86" s="10">
        <v>0.98</v>
      </c>
      <c r="L86" s="10">
        <v>0.97</v>
      </c>
      <c r="M86" s="10">
        <v>0.96</v>
      </c>
      <c r="N86" s="10">
        <v>0.96</v>
      </c>
      <c r="O86" s="10">
        <v>0.25</v>
      </c>
      <c r="P86" s="10">
        <v>0</v>
      </c>
      <c r="Q86" s="10">
        <v>60</v>
      </c>
      <c r="R86" s="13" t="s">
        <v>274</v>
      </c>
      <c r="S86" s="13" t="s">
        <v>227</v>
      </c>
    </row>
    <row r="87" spans="1:19" x14ac:dyDescent="0.25">
      <c r="A87" s="1" t="s">
        <v>17</v>
      </c>
      <c r="B87" s="1" t="s">
        <v>101</v>
      </c>
      <c r="C87" s="1" t="s">
        <v>186</v>
      </c>
      <c r="D87" s="1" t="s">
        <v>198</v>
      </c>
      <c r="E87" s="1" t="s">
        <v>270</v>
      </c>
      <c r="F87" s="10">
        <v>0</v>
      </c>
      <c r="G87" s="10">
        <v>0</v>
      </c>
      <c r="H87" s="10">
        <v>0</v>
      </c>
      <c r="I87" s="10">
        <v>1.08</v>
      </c>
      <c r="J87" s="10">
        <v>1.04</v>
      </c>
      <c r="K87" s="10">
        <v>1.04</v>
      </c>
      <c r="L87" s="10">
        <v>1</v>
      </c>
      <c r="M87" s="10">
        <v>0.99</v>
      </c>
      <c r="N87" s="10">
        <v>0.99</v>
      </c>
      <c r="O87" s="10">
        <v>0</v>
      </c>
      <c r="P87" s="10">
        <v>0</v>
      </c>
      <c r="Q87" s="10">
        <v>55</v>
      </c>
      <c r="R87" s="13" t="s">
        <v>274</v>
      </c>
      <c r="S87" s="13" t="s">
        <v>227</v>
      </c>
    </row>
    <row r="88" spans="1:19" x14ac:dyDescent="0.25">
      <c r="A88" s="1" t="s">
        <v>17</v>
      </c>
      <c r="B88" s="1" t="s">
        <v>102</v>
      </c>
      <c r="C88" s="1" t="s">
        <v>187</v>
      </c>
      <c r="D88" s="1" t="s">
        <v>198</v>
      </c>
      <c r="E88" s="1" t="s">
        <v>270</v>
      </c>
      <c r="F88" s="10">
        <v>0</v>
      </c>
      <c r="G88" s="10">
        <v>0</v>
      </c>
      <c r="H88" s="10">
        <v>0</v>
      </c>
      <c r="I88" s="10">
        <v>1.58</v>
      </c>
      <c r="J88" s="10">
        <v>1.49</v>
      </c>
      <c r="K88" s="10">
        <v>1.49</v>
      </c>
      <c r="L88" s="10">
        <v>1.42</v>
      </c>
      <c r="M88" s="10">
        <v>1.37</v>
      </c>
      <c r="N88" s="10">
        <v>1.37</v>
      </c>
      <c r="O88" s="10">
        <v>0</v>
      </c>
      <c r="P88" s="10">
        <v>0</v>
      </c>
      <c r="Q88" s="10">
        <v>55</v>
      </c>
      <c r="R88" s="13" t="s">
        <v>276</v>
      </c>
      <c r="S88" s="13" t="s">
        <v>227</v>
      </c>
    </row>
    <row r="89" spans="1:19" x14ac:dyDescent="0.25">
      <c r="A89" s="1" t="s">
        <v>17</v>
      </c>
      <c r="B89" s="1" t="s">
        <v>103</v>
      </c>
      <c r="C89" s="1" t="s">
        <v>188</v>
      </c>
      <c r="D89" s="1" t="s">
        <v>198</v>
      </c>
      <c r="E89" s="1" t="s">
        <v>252</v>
      </c>
      <c r="F89" s="10">
        <v>0</v>
      </c>
      <c r="G89" s="10">
        <v>0</v>
      </c>
      <c r="H89" s="10">
        <v>4.55</v>
      </c>
      <c r="I89" s="10">
        <v>4.42</v>
      </c>
      <c r="J89" s="10">
        <v>4.29</v>
      </c>
      <c r="K89" s="10">
        <v>4.29</v>
      </c>
      <c r="L89" s="10">
        <v>4.16</v>
      </c>
      <c r="M89" s="10">
        <v>4.05</v>
      </c>
      <c r="N89" s="10">
        <v>4.05</v>
      </c>
      <c r="O89" s="10">
        <v>0</v>
      </c>
      <c r="P89" s="10">
        <v>0.35</v>
      </c>
      <c r="Q89" s="10">
        <v>60</v>
      </c>
      <c r="R89" s="13" t="s">
        <v>274</v>
      </c>
      <c r="S89" s="13" t="s">
        <v>232</v>
      </c>
    </row>
    <row r="90" spans="1:19" x14ac:dyDescent="0.25">
      <c r="A90" s="1" t="s">
        <v>17</v>
      </c>
      <c r="B90" s="1" t="s">
        <v>104</v>
      </c>
      <c r="C90" s="1" t="s">
        <v>189</v>
      </c>
      <c r="D90" s="1" t="s">
        <v>198</v>
      </c>
      <c r="E90" s="1" t="s">
        <v>230</v>
      </c>
      <c r="F90" s="10">
        <v>0</v>
      </c>
      <c r="G90" s="10">
        <v>0</v>
      </c>
      <c r="H90" s="10">
        <v>0.99</v>
      </c>
      <c r="I90" s="10">
        <v>0.95</v>
      </c>
      <c r="J90" s="10">
        <v>0.95</v>
      </c>
      <c r="K90" s="10">
        <v>0.95</v>
      </c>
      <c r="L90" s="10">
        <v>0.86</v>
      </c>
      <c r="M90" s="10">
        <v>0.86</v>
      </c>
      <c r="N90" s="10">
        <v>0.86</v>
      </c>
      <c r="O90" s="10">
        <v>0</v>
      </c>
      <c r="P90" s="10">
        <v>0</v>
      </c>
      <c r="Q90" s="10">
        <v>50</v>
      </c>
      <c r="R90" s="13" t="s">
        <v>276</v>
      </c>
      <c r="S90" s="13" t="s">
        <v>232</v>
      </c>
    </row>
    <row r="91" spans="1:19" x14ac:dyDescent="0.25">
      <c r="A91" s="1" t="s">
        <v>18</v>
      </c>
      <c r="B91" s="1" t="s">
        <v>105</v>
      </c>
      <c r="C91" s="1" t="s">
        <v>190</v>
      </c>
      <c r="D91" s="1" t="s">
        <v>211</v>
      </c>
      <c r="E91" s="1" t="s">
        <v>252</v>
      </c>
      <c r="F91" s="10">
        <v>0</v>
      </c>
      <c r="G91" s="10">
        <v>0</v>
      </c>
      <c r="H91" s="10">
        <v>0</v>
      </c>
      <c r="I91" s="10">
        <v>0</v>
      </c>
      <c r="J91" s="10">
        <v>0.32</v>
      </c>
      <c r="K91" s="10">
        <v>0.32</v>
      </c>
      <c r="L91" s="10">
        <v>0.27</v>
      </c>
      <c r="M91" s="10">
        <v>0.27</v>
      </c>
      <c r="N91" s="10">
        <v>0.22</v>
      </c>
      <c r="O91" s="10">
        <v>0</v>
      </c>
      <c r="P91" s="10">
        <v>0</v>
      </c>
      <c r="Q91" s="10">
        <v>40</v>
      </c>
      <c r="R91" s="13" t="s">
        <v>276</v>
      </c>
      <c r="S91" s="13" t="s">
        <v>232</v>
      </c>
    </row>
    <row r="92" spans="1:19" x14ac:dyDescent="0.25">
      <c r="A92" s="1" t="s">
        <v>18</v>
      </c>
      <c r="B92" s="1" t="s">
        <v>106</v>
      </c>
      <c r="C92" s="1" t="s">
        <v>191</v>
      </c>
      <c r="D92" s="1" t="s">
        <v>211</v>
      </c>
      <c r="E92" s="1" t="s">
        <v>278</v>
      </c>
      <c r="F92" s="10">
        <v>0</v>
      </c>
      <c r="G92" s="10">
        <v>0</v>
      </c>
      <c r="H92" s="10">
        <v>1.67</v>
      </c>
      <c r="I92" s="10">
        <v>1.53</v>
      </c>
      <c r="J92" s="10">
        <v>1.4</v>
      </c>
      <c r="K92" s="10">
        <v>1.4</v>
      </c>
      <c r="L92" s="10">
        <v>1.31</v>
      </c>
      <c r="M92" s="10">
        <v>1.31</v>
      </c>
      <c r="N92" s="10">
        <v>1.31</v>
      </c>
      <c r="O92" s="10">
        <v>0</v>
      </c>
      <c r="P92" s="10">
        <v>0</v>
      </c>
      <c r="Q92" s="10">
        <v>45</v>
      </c>
      <c r="R92" s="13" t="s">
        <v>274</v>
      </c>
      <c r="S92" s="13" t="s">
        <v>227</v>
      </c>
    </row>
    <row r="93" spans="1:19" x14ac:dyDescent="0.25">
      <c r="A93" s="1" t="s">
        <v>18</v>
      </c>
      <c r="B93" s="1" t="s">
        <v>107</v>
      </c>
      <c r="C93" s="1" t="s">
        <v>192</v>
      </c>
      <c r="D93" s="1" t="s">
        <v>211</v>
      </c>
      <c r="E93" s="1" t="s">
        <v>279</v>
      </c>
      <c r="F93" s="10">
        <v>0</v>
      </c>
      <c r="G93" s="10">
        <v>1.1000000000000001</v>
      </c>
      <c r="H93" s="10">
        <v>0.62</v>
      </c>
      <c r="I93" s="10">
        <v>0.46</v>
      </c>
      <c r="J93" s="10">
        <v>0.35</v>
      </c>
      <c r="K93" s="10">
        <v>0.35</v>
      </c>
      <c r="L93" s="10">
        <v>0.26</v>
      </c>
      <c r="M93" s="10">
        <v>0.2</v>
      </c>
      <c r="N93" s="10">
        <v>0.2</v>
      </c>
      <c r="O93" s="10">
        <v>0</v>
      </c>
      <c r="P93" s="10">
        <v>0</v>
      </c>
      <c r="Q93" s="10">
        <v>0</v>
      </c>
      <c r="R93" s="13" t="s">
        <v>274</v>
      </c>
      <c r="S93" s="13" t="s">
        <v>280</v>
      </c>
    </row>
    <row r="94" spans="1:19" x14ac:dyDescent="0.25">
      <c r="A94" s="1" t="s">
        <v>19</v>
      </c>
      <c r="B94" s="1" t="s">
        <v>108</v>
      </c>
      <c r="C94" s="1" t="s">
        <v>193</v>
      </c>
      <c r="D94" s="1" t="s">
        <v>211</v>
      </c>
      <c r="E94" s="1" t="s">
        <v>281</v>
      </c>
      <c r="F94" s="10">
        <v>0</v>
      </c>
      <c r="G94" s="10">
        <v>0</v>
      </c>
      <c r="H94" s="10">
        <v>0</v>
      </c>
      <c r="I94" s="10">
        <v>0</v>
      </c>
      <c r="J94" s="10">
        <v>0</v>
      </c>
      <c r="K94" s="10">
        <v>0</v>
      </c>
      <c r="L94" s="10">
        <v>0.26</v>
      </c>
      <c r="M94" s="10">
        <v>0.26</v>
      </c>
      <c r="N94" s="10">
        <v>0.08</v>
      </c>
      <c r="O94" s="10">
        <v>0</v>
      </c>
      <c r="P94" s="10">
        <v>0</v>
      </c>
      <c r="Q94" s="10">
        <v>12.5</v>
      </c>
      <c r="R94" s="13" t="s">
        <v>276</v>
      </c>
      <c r="S94" s="13" t="s">
        <v>232</v>
      </c>
    </row>
    <row r="95" spans="1:19" x14ac:dyDescent="0.25">
      <c r="A95" s="1" t="s">
        <v>19</v>
      </c>
      <c r="B95" s="1" t="s">
        <v>109</v>
      </c>
      <c r="C95" s="1" t="s">
        <v>194</v>
      </c>
      <c r="D95" s="1" t="s">
        <v>211</v>
      </c>
      <c r="E95" s="1" t="s">
        <v>282</v>
      </c>
      <c r="F95" s="10">
        <v>0</v>
      </c>
      <c r="G95" s="10">
        <v>0</v>
      </c>
      <c r="H95" s="10">
        <v>0.72</v>
      </c>
      <c r="I95" s="10">
        <v>0.52</v>
      </c>
      <c r="J95" s="10">
        <v>0.28999999999999998</v>
      </c>
      <c r="K95" s="10">
        <v>0.28999999999999998</v>
      </c>
      <c r="L95" s="10">
        <v>0.16</v>
      </c>
      <c r="M95" s="10">
        <v>0.16</v>
      </c>
      <c r="N95" s="10">
        <v>0.16</v>
      </c>
      <c r="O95" s="10">
        <v>0</v>
      </c>
      <c r="P95" s="10">
        <v>0</v>
      </c>
      <c r="Q95" s="10">
        <v>0</v>
      </c>
      <c r="R95" s="13" t="s">
        <v>283</v>
      </c>
      <c r="S95" s="13" t="s">
        <v>232</v>
      </c>
    </row>
    <row r="96" spans="1:19" x14ac:dyDescent="0.25">
      <c r="A96" s="1" t="s">
        <v>20</v>
      </c>
      <c r="B96" s="1" t="s">
        <v>110</v>
      </c>
      <c r="C96" s="1" t="s">
        <v>195</v>
      </c>
      <c r="D96" s="1" t="s">
        <v>215</v>
      </c>
      <c r="E96" s="1" t="s">
        <v>284</v>
      </c>
      <c r="F96" s="10">
        <v>0</v>
      </c>
      <c r="G96" s="10">
        <v>3.49</v>
      </c>
      <c r="H96" s="10">
        <v>2.99</v>
      </c>
      <c r="I96" s="10">
        <v>2.99</v>
      </c>
      <c r="J96" s="10">
        <v>2</v>
      </c>
      <c r="K96" s="10">
        <v>2</v>
      </c>
      <c r="L96" s="10">
        <v>1.1200000000000001</v>
      </c>
      <c r="M96" s="10">
        <v>1.1200000000000001</v>
      </c>
      <c r="N96" s="10">
        <v>1.02</v>
      </c>
      <c r="O96" s="10">
        <v>0.5</v>
      </c>
      <c r="P96" s="10">
        <v>0</v>
      </c>
      <c r="Q96" s="10">
        <v>50</v>
      </c>
      <c r="R96" s="13" t="s">
        <v>274</v>
      </c>
      <c r="S96" s="13" t="s">
        <v>227</v>
      </c>
    </row>
  </sheetData>
  <mergeCells count="3">
    <mergeCell ref="F5:N5"/>
    <mergeCell ref="A1:G1"/>
    <mergeCell ref="A3:K3"/>
  </mergeCells>
  <pageMargins left="0.25" right="0.25" top="0.75" bottom="0.75" header="0.3" footer="0.3"/>
  <pageSetup paperSize="5"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Market Basket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Primiano</dc:creator>
  <cp:lastModifiedBy>mckenzie@progressivemarketing.com</cp:lastModifiedBy>
  <cp:lastPrinted>2026-01-28T18:14:41Z</cp:lastPrinted>
  <dcterms:created xsi:type="dcterms:W3CDTF">2025-12-04T15:28:55Z</dcterms:created>
  <dcterms:modified xsi:type="dcterms:W3CDTF">2026-01-28T20:31:30Z</dcterms:modified>
</cp:coreProperties>
</file>